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apaz\Desktop\Ing. Relyn\Obras  a  Licitar.  part\Presup  a  revisar\revisado\Limpio\"/>
    </mc:Choice>
  </mc:AlternateContent>
  <bookViews>
    <workbookView xWindow="0" yWindow="0" windowWidth="19200" windowHeight="10608" tabRatio="809"/>
  </bookViews>
  <sheets>
    <sheet name="Cancha camino vertedero" sheetId="38" r:id="rId1"/>
    <sheet name="Analisis" sheetId="39" r:id="rId2"/>
    <sheet name="Hormigones" sheetId="13" r:id="rId3"/>
    <sheet name="Elementos de HA" sheetId="14" r:id="rId4"/>
    <sheet name="Terminacion de Superficie" sheetId="15" r:id="rId5"/>
    <sheet name="Miscelaneos" sheetId="18" r:id="rId6"/>
    <sheet name="ELEC" sheetId="23" r:id="rId7"/>
    <sheet name="ANALISISDECOSTO" sheetId="17" r:id="rId8"/>
    <sheet name="Inbornal" sheetId="28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a" localSheetId="0">#REF!</definedName>
    <definedName name="\a" localSheetId="8">#REF!</definedName>
    <definedName name="\a">#REF!</definedName>
    <definedName name="\b" localSheetId="0">'[1]CUB-10181-3(Rescision)'!#REF!</definedName>
    <definedName name="\b" localSheetId="8">'[1]CUB-10181-3(Rescision)'!#REF!</definedName>
    <definedName name="\b">'[1]CUB-10181-3(Rescision)'!#REF!</definedName>
    <definedName name="\c">#N/A</definedName>
    <definedName name="\d">#N/A</definedName>
    <definedName name="\f" localSheetId="0">'[1]CUB-10181-3(Rescision)'!#REF!</definedName>
    <definedName name="\f" localSheetId="8">'[1]CUB-10181-3(Rescision)'!#REF!</definedName>
    <definedName name="\f">'[1]CUB-10181-3(Rescision)'!#REF!</definedName>
    <definedName name="\i" localSheetId="0">'[1]CUB-10181-3(Rescision)'!#REF!</definedName>
    <definedName name="\i" localSheetId="8">'[1]CUB-10181-3(Rescision)'!#REF!</definedName>
    <definedName name="\i">'[1]CUB-10181-3(Rescision)'!#REF!</definedName>
    <definedName name="\m" localSheetId="0">'[1]CUB-10181-3(Rescision)'!#REF!</definedName>
    <definedName name="\m" localSheetId="8">'[1]CUB-10181-3(Rescision)'!#REF!</definedName>
    <definedName name="\m">'[1]CUB-10181-3(Rescision)'!#REF!</definedName>
    <definedName name="\o" localSheetId="0">#REF!</definedName>
    <definedName name="\o" localSheetId="8">#REF!</definedName>
    <definedName name="\o">#REF!</definedName>
    <definedName name="\p" localSheetId="0">#REF!</definedName>
    <definedName name="\p" localSheetId="8">#REF!</definedName>
    <definedName name="\p">#REF!</definedName>
    <definedName name="\q" localSheetId="0">#REF!</definedName>
    <definedName name="\q">#REF!</definedName>
    <definedName name="\w">#REF!</definedName>
    <definedName name="\z">#REF!</definedName>
    <definedName name="___TWS10" localSheetId="7">'[2]Analisis Detallado'!#REF!</definedName>
    <definedName name="___TWS10" localSheetId="0">'[2]Analisis Detallado'!#REF!</definedName>
    <definedName name="___TWS10" localSheetId="3">'[2]Analisis Detallado'!#REF!</definedName>
    <definedName name="___TWS10" localSheetId="2">'[2]Analisis Detallado'!#REF!</definedName>
    <definedName name="___TWS10" localSheetId="8">'[2]Analisis Detallado'!#REF!</definedName>
    <definedName name="___TWS10" localSheetId="5">'[2]Analisis Detallado'!#REF!</definedName>
    <definedName name="___TWS10" localSheetId="4">'[2]Analisis Detallado'!#REF!</definedName>
    <definedName name="___TWS10">'[2]Analisis Detallado'!#REF!</definedName>
    <definedName name="___TWS12" localSheetId="7">'[2]Analisis Detallado'!#REF!</definedName>
    <definedName name="___TWS12" localSheetId="0">'[2]Analisis Detallado'!#REF!</definedName>
    <definedName name="___TWS12" localSheetId="3">'[2]Analisis Detallado'!#REF!</definedName>
    <definedName name="___TWS12" localSheetId="2">'[2]Analisis Detallado'!#REF!</definedName>
    <definedName name="___TWS12" localSheetId="8">'[2]Analisis Detallado'!#REF!</definedName>
    <definedName name="___TWS12" localSheetId="5">'[2]Analisis Detallado'!#REF!</definedName>
    <definedName name="___TWS12" localSheetId="4">'[2]Analisis Detallado'!#REF!</definedName>
    <definedName name="___TWS12">'[2]Analisis Detallado'!#REF!</definedName>
    <definedName name="___TWS14" localSheetId="7">'[2]Analisis Detallado'!#REF!</definedName>
    <definedName name="___TWS14" localSheetId="0">'[2]Analisis Detallado'!#REF!</definedName>
    <definedName name="___TWS14" localSheetId="3">'[2]Analisis Detallado'!#REF!</definedName>
    <definedName name="___TWS14" localSheetId="2">'[2]Analisis Detallado'!#REF!</definedName>
    <definedName name="___TWS14" localSheetId="8">'[2]Analisis Detallado'!#REF!</definedName>
    <definedName name="___TWS14" localSheetId="5">'[2]Analisis Detallado'!#REF!</definedName>
    <definedName name="___TWS14" localSheetId="4">'[2]Analisis Detallado'!#REF!</definedName>
    <definedName name="___TWS14">'[2]Analisis Detallado'!#REF!</definedName>
    <definedName name="___TWS16" localSheetId="7">'[2]Analisis Detallado'!#REF!</definedName>
    <definedName name="___TWS16" localSheetId="0">'[2]Analisis Detallado'!#REF!</definedName>
    <definedName name="___TWS16" localSheetId="3">'[2]Analisis Detallado'!#REF!</definedName>
    <definedName name="___TWS16" localSheetId="2">'[2]Analisis Detallado'!#REF!</definedName>
    <definedName name="___TWS16" localSheetId="8">'[2]Analisis Detallado'!#REF!</definedName>
    <definedName name="___TWS16" localSheetId="5">'[2]Analisis Detallado'!#REF!</definedName>
    <definedName name="___TWS16" localSheetId="4">'[2]Analisis Detallado'!#REF!</definedName>
    <definedName name="___TWS16">'[2]Analisis Detallado'!#REF!</definedName>
    <definedName name="___TWS18" localSheetId="7">'[2]Analisis Detallado'!#REF!</definedName>
    <definedName name="___TWS18" localSheetId="0">'[2]Analisis Detallado'!#REF!</definedName>
    <definedName name="___TWS18" localSheetId="3">'[2]Analisis Detallado'!#REF!</definedName>
    <definedName name="___TWS18" localSheetId="2">'[2]Analisis Detallado'!#REF!</definedName>
    <definedName name="___TWS18" localSheetId="8">'[2]Analisis Detallado'!#REF!</definedName>
    <definedName name="___TWS18" localSheetId="5">'[2]Analisis Detallado'!#REF!</definedName>
    <definedName name="___TWS18" localSheetId="4">'[2]Analisis Detallado'!#REF!</definedName>
    <definedName name="___TWS18">'[2]Analisis Detallado'!#REF!</definedName>
    <definedName name="___TWS8" localSheetId="7">'[2]Analisis Detallado'!#REF!</definedName>
    <definedName name="___TWS8" localSheetId="0">'[2]Analisis Detallado'!#REF!</definedName>
    <definedName name="___TWS8" localSheetId="3">'[2]Analisis Detallado'!#REF!</definedName>
    <definedName name="___TWS8" localSheetId="2">'[2]Analisis Detallado'!#REF!</definedName>
    <definedName name="___TWS8" localSheetId="8">'[2]Analisis Detallado'!#REF!</definedName>
    <definedName name="___TWS8" localSheetId="4">'[2]Analisis Detallado'!#REF!</definedName>
    <definedName name="___TWS8">'[2]Analisis Detallado'!#REF!</definedName>
    <definedName name="___ZC1" localSheetId="0">#REF!</definedName>
    <definedName name="___ZC1" localSheetId="8">#REF!</definedName>
    <definedName name="___ZC1">#REF!</definedName>
    <definedName name="___ZE1" localSheetId="0">#REF!</definedName>
    <definedName name="___ZE1" localSheetId="8">#REF!</definedName>
    <definedName name="___ZE1">#REF!</definedName>
    <definedName name="___ZE2" localSheetId="0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REALIZADO" localSheetId="0">#REF!</definedName>
    <definedName name="__REALIZADO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 localSheetId="0">#REF!</definedName>
    <definedName name="__ZC1">#REF!</definedName>
    <definedName name="__ZE1" localSheetId="0">#REF!</definedName>
    <definedName name="__ZE1">#REF!</definedName>
    <definedName name="__ZE2" localSheetId="0">#REF!</definedName>
    <definedName name="__ZE2">#REF!</definedName>
    <definedName name="__ZE3">#REF!</definedName>
    <definedName name="__ZE4">#REF!</definedName>
    <definedName name="__ZE5">#REF!</definedName>
    <definedName name="__ZE6">#REF!</definedName>
    <definedName name="_1">#N/A</definedName>
    <definedName name="_ACG60">[5]INSUMOS!$H$41</definedName>
    <definedName name="_F" localSheetId="0">#REF!</definedName>
    <definedName name="_F">#REF!</definedName>
    <definedName name="_Fill" localSheetId="0" hidden="1">#REF!</definedName>
    <definedName name="_Fill" hidden="1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 localSheetId="6">#REF!</definedName>
    <definedName name="A">'[2]Analisis Detallado'!#REF!</definedName>
    <definedName name="A_IMPRESIÓN_IM" localSheetId="0">#REF!</definedName>
    <definedName name="A_IMPRESIÓN_IM">#REF!</definedName>
    <definedName name="AC38G40">'[6]LISTADO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 localSheetId="0">#REF!</definedName>
    <definedName name="acero">#REF!</definedName>
    <definedName name="Acero_QQ" localSheetId="0">#REF!</definedName>
    <definedName name="Acero_QQ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 localSheetId="0">#REF!</definedName>
    <definedName name="acero60">#REF!</definedName>
    <definedName name="ACUEDUCTO">[7]INS!#REF!</definedName>
    <definedName name="ADAPTADOR_HEM_PVC_1" localSheetId="0">#REF!</definedName>
    <definedName name="ADAPTADOR_HEM_PVC_1">#REF!</definedName>
    <definedName name="ADAPTADOR_HEM_PVC_12" localSheetId="0">#REF!</definedName>
    <definedName name="ADAPTADOR_HEM_PVC_12">#REF!</definedName>
    <definedName name="ADAPTADOR_HEM_PVC_34" localSheetId="0">#REF!</definedName>
    <definedName name="ADAPTADOR_HEM_PVC_34">#REF!</definedName>
    <definedName name="ADAPTADOR_MAC_PVC_1">#REF!</definedName>
    <definedName name="ADAPTADOR_MAC_PVC_12">#REF!</definedName>
    <definedName name="ADAPTADOR_MAC_PVC_34">#REF!</definedName>
    <definedName name="ADICIONAL">#N/A</definedName>
    <definedName name="ADITIVO_IMPERMEABILIZANTE">#REF!</definedName>
    <definedName name="AGUA" localSheetId="0">'[4]Analisis Detallado'!#REF!</definedName>
    <definedName name="Agua" localSheetId="6">#REF!</definedName>
    <definedName name="AGUA">'[4]Analisis Detallado'!#REF!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2">#REF!</definedName>
    <definedName name="AL_ELEC_No14">#REF!</definedName>
    <definedName name="AL_ELEC_No6">#REF!</definedName>
    <definedName name="AL_ELEC_No8">#REF!</definedName>
    <definedName name="ALAMBRE" localSheetId="0">'[4]Analisis Detallado'!#REF!</definedName>
    <definedName name="ALAMBRE">'[4]Analisis Detallado'!#REF!</definedName>
    <definedName name="Alambre_Varilla" localSheetId="0">#REF!</definedName>
    <definedName name="Alambre_Varilla">#REF!</definedName>
    <definedName name="alambre18" localSheetId="0">#REF!</definedName>
    <definedName name="alambre18">#REF!</definedName>
    <definedName name="ALBANIL" localSheetId="0">#REF!</definedName>
    <definedName name="ALBANIL">#REF!</definedName>
    <definedName name="ALBANIL2">[8]M.O.!$C$12</definedName>
    <definedName name="ALBANIL3" localSheetId="0">#REF!</definedName>
    <definedName name="ALBANIL3">#REF!</definedName>
    <definedName name="ana" localSheetId="0">#REF!</definedName>
    <definedName name="ana">#REF!</definedName>
    <definedName name="ANALISSSSS" localSheetId="0">#REF!</definedName>
    <definedName name="ANALISSSSS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GULAR">#REF!</definedName>
    <definedName name="anplanta" localSheetId="0">#REF!</definedName>
    <definedName name="anplanta">#REF!</definedName>
    <definedName name="ARANDELA_INODORO_PVC_4">#REF!</definedName>
    <definedName name="ARCILLA_ROJA">#REF!</definedName>
    <definedName name="_xlnm.Extract">#REF!</definedName>
    <definedName name="_xlnm.Print_Area" localSheetId="7">ANALISISDECOSTO!$A$1:$G$453</definedName>
    <definedName name="_xlnm.Print_Area" localSheetId="0">'Cancha camino vertedero'!$A$1:$F$62</definedName>
    <definedName name="_xlnm.Print_Area" localSheetId="6">ELEC!$A$1:$F$80</definedName>
    <definedName name="_xlnm.Print_Area" localSheetId="2">Hormigones!$A$1:$F$472</definedName>
    <definedName name="_xlnm.Print_Area" localSheetId="5">Miscelaneos!$A$1:$F$194</definedName>
    <definedName name="_xlnm.Print_Area" localSheetId="4">'Terminacion de Superficie'!$A$1:$F$137</definedName>
    <definedName name="_xlnm.Print_Area">#REF!</definedName>
    <definedName name="ARENA" localSheetId="0">'[4]Analisis Detallado'!#REF!</definedName>
    <definedName name="ARENA" localSheetId="5">'[4]Analisis Detallado'!#REF!</definedName>
    <definedName name="ARENA">'[4]Analisis Detallado'!#REF!</definedName>
    <definedName name="ARENA_PAÑETE" localSheetId="0">#REF!</definedName>
    <definedName name="ARENA_PAÑETE">#REF!</definedName>
    <definedName name="ARENAF" localSheetId="0">'[4]Analisis Detallado'!#REF!</definedName>
    <definedName name="ARENAF" localSheetId="5">'[4]Analisis Detallado'!#REF!</definedName>
    <definedName name="ARENAF">'[4]Analisis Detallado'!#REF!</definedName>
    <definedName name="ArenaItabo" localSheetId="0">#REF!</definedName>
    <definedName name="ArenaItabo">#REF!</definedName>
    <definedName name="ArenaPlanta" localSheetId="0">#REF!</definedName>
    <definedName name="ArenaPlanta">#REF!</definedName>
    <definedName name="as" localSheetId="0">[9]M.O.!#REF!</definedName>
    <definedName name="as">[9]M.O.!#REF!</definedName>
    <definedName name="asd" localSheetId="0">#REF!</definedName>
    <definedName name="asd">#REF!</definedName>
    <definedName name="AYCARP" localSheetId="0">[10]INS!#REF!</definedName>
    <definedName name="AYCARP">[10]INS!#REF!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Soldador" localSheetId="0">#REF!</definedName>
    <definedName name="Ayudante_Soldador">#REF!</definedName>
    <definedName name="b" localSheetId="0">[11]ADDENDA!#REF!</definedName>
    <definedName name="b">[11]ADDENDA!#REF!</definedName>
    <definedName name="B22.02" localSheetId="0">'[4]Analisis Detallado'!#REF!</definedName>
    <definedName name="B22.02" localSheetId="5">'[4]Analisis Detallado'!#REF!</definedName>
    <definedName name="B22.02">'[4]Analisis Detallado'!#REF!</definedName>
    <definedName name="BALDOSAS_TRANSPARENTE" localSheetId="0">#REF!</definedName>
    <definedName name="BALDOSAS_TRANSPARENTE">#REF!</definedName>
    <definedName name="bas3e" localSheetId="0">#REF!</definedName>
    <definedName name="bas3e">#REF!</definedName>
    <definedName name="base" localSheetId="0">#REF!</definedName>
    <definedName name="base">#REF!</definedName>
    <definedName name="BASE_CONTEN">#REF!</definedName>
    <definedName name="BLOCK_4">#REF!</definedName>
    <definedName name="BLOCK_6">#REF!</definedName>
    <definedName name="BLOCK_8">#REF!</definedName>
    <definedName name="BLOCK_CALADO">#REF!</definedName>
    <definedName name="BLOCKB4" localSheetId="0">'[4]Analisis Detallado'!#REF!</definedName>
    <definedName name="BLOCKB4" localSheetId="5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 localSheetId="0">#REF!</definedName>
    <definedName name="bloque8">#REF!</definedName>
    <definedName name="BOMBA_ACHIQUE" localSheetId="0">#REF!</definedName>
    <definedName name="BOMBA_ACHIQUE">#REF!</definedName>
    <definedName name="BOMBILLAS_1500W">[12]INSU!$B$42</definedName>
    <definedName name="BOQUILLA_FREGADERO_CROMO" localSheetId="0">#REF!</definedName>
    <definedName name="BOQUILLA_FREGADERO_CROMO">#REF!</definedName>
    <definedName name="BOQUILLA_LAVADERO_CROMO" localSheetId="0">#REF!</definedName>
    <definedName name="BOQUILLA_LAVADERO_CROMO">#REF!</definedName>
    <definedName name="BOTE" localSheetId="0">#REF!</definedName>
    <definedName name="BOTE">#REF!</definedName>
    <definedName name="BREAKERS">#REF!</definedName>
    <definedName name="BREAKERS_15A">#REF!</definedName>
    <definedName name="BREAKERS_20A">#REF!</definedName>
    <definedName name="BREAKERS_30A">#REF!</definedName>
    <definedName name="BRIGADATOPOGRAFICA">[8]M.O.!$C$9</definedName>
    <definedName name="BVNBVNBV">[13]M.O.!#REF!</definedName>
    <definedName name="C._ADICIONAL">#N/A</definedName>
    <definedName name="caballeteasbecto">[14]precios!#REF!</definedName>
    <definedName name="caballeteasbeto">[14]precios!#REF!</definedName>
    <definedName name="CAJA_2x4_12" localSheetId="0">#REF!</definedName>
    <definedName name="CAJA_2x4_12">#REF!</definedName>
    <definedName name="CAJA_2x4_34" localSheetId="0">#REF!</definedName>
    <definedName name="CAJA_2x4_34">#REF!</definedName>
    <definedName name="CAJA_OCTAGONAL" localSheetId="0">#REF!</definedName>
    <definedName name="CAJA_OCTAGONAL">#REF!</definedName>
    <definedName name="CAL" localSheetId="0">'[4]Analisis Detallado'!#REF!</definedName>
    <definedName name="Cal" localSheetId="6">#REF!</definedName>
    <definedName name="CAL">'[4]Analisis Detallado'!#REF!</definedName>
    <definedName name="CALICHE" localSheetId="0">#REF!</definedName>
    <definedName name="CALICHE">#REF!</definedName>
    <definedName name="CAMION_BOTE" localSheetId="0">#REF!</definedName>
    <definedName name="CAMION_BOTE">#REF!</definedName>
    <definedName name="CARACOL" localSheetId="0">[15]M.O.!#REF!</definedName>
    <definedName name="CARACOL">[15]M.O.!#REF!</definedName>
    <definedName name="CARANTEPECHO" localSheetId="0">[8]M.O.!#REF!</definedName>
    <definedName name="CARANTEPECHO">[8]M.O.!#REF!</definedName>
    <definedName name="CARCOL30" localSheetId="0">[8]M.O.!#REF!</definedName>
    <definedName name="CARCOL30">[8]M.O.!#REF!</definedName>
    <definedName name="CARCOL50" localSheetId="0">[8]M.O.!#REF!</definedName>
    <definedName name="CARCOL50">[8]M.O.!#REF!</definedName>
    <definedName name="CARCOLAMARRE">[8]M.O.!#REF!</definedName>
    <definedName name="CARGA_SOCIAL" localSheetId="0">#REF!</definedName>
    <definedName name="CARGA_SOCIAL">#REF!</definedName>
    <definedName name="CARLOSAPLA">[8]M.O.!#REF!</definedName>
    <definedName name="CARLOSAVARIASAGUAS">[8]M.O.!#REF!</definedName>
    <definedName name="CARMURO">[8]M.O.!#REF!</definedName>
    <definedName name="CARP1">[10]INS!#REF!</definedName>
    <definedName name="CARP2">[10]INS!#REF!</definedName>
    <definedName name="CARPDINTEL">[8]M.O.!#REF!</definedName>
    <definedName name="CARPINTERIA_COL_PERIMETRO" localSheetId="0">#REF!</definedName>
    <definedName name="CARPINTERIA_COL_PERIMETRO">#REF!</definedName>
    <definedName name="CARPINTERIA_INSTAL_COL_PERIMETRO" localSheetId="0">#REF!</definedName>
    <definedName name="CARPINTERIA_INSTAL_COL_PERIMETRO">#REF!</definedName>
    <definedName name="CARPVIGA2040" localSheetId="0">[8]M.O.!#REF!</definedName>
    <definedName name="CARPVIGA2040">[8]M.O.!#REF!</definedName>
    <definedName name="CARPVIGA3050" localSheetId="0">[8]M.O.!#REF!</definedName>
    <definedName name="CARPVIGA3050">[8]M.O.!#REF!</definedName>
    <definedName name="CARPVIGA3060">[8]M.O.!#REF!</definedName>
    <definedName name="CARPVIGA4080">[8]M.O.!#REF!</definedName>
    <definedName name="CARRAMPA">[8]M.O.!#REF!</definedName>
    <definedName name="CARRETILLA" localSheetId="0">#REF!</definedName>
    <definedName name="CARRETILLA">#REF!</definedName>
    <definedName name="CASABE">[15]M.O.!#REF!</definedName>
    <definedName name="CASBESTO">[8]M.O.!#REF!</definedName>
    <definedName name="CASCAJO" localSheetId="0">'[4]Analisis Detallado'!#REF!</definedName>
    <definedName name="CASCAJO">'[4]Analisis Detallado'!#REF!</definedName>
    <definedName name="CBLOCK10">[10]INS!#REF!</definedName>
    <definedName name="cell">'[16]LISTADO INSUMOS DEL 2000'!$I$29</definedName>
    <definedName name="CEMENTO" localSheetId="0">#REF!</definedName>
    <definedName name="CEMENTO">#REF!</definedName>
    <definedName name="CEMENTO_BLANCO" localSheetId="0">#REF!</definedName>
    <definedName name="CEMENTO_BLANCO">#REF!</definedName>
    <definedName name="CEMENTO_PVC" localSheetId="0">#REF!</definedName>
    <definedName name="CEMENTO_PVC">#REF!</definedName>
    <definedName name="CERAMICA_20x20_BLANCA">#REF!</definedName>
    <definedName name="CERAMICA_ANTIDESLIZANTE">#REF!</definedName>
    <definedName name="CERAMICA_PISOS_40x40">#REF!</definedName>
    <definedName name="CHAZO">[12]INSU!$B$104</definedName>
    <definedName name="CHAZOS" localSheetId="0">#REF!</definedName>
    <definedName name="CHAZOS">#REF!</definedName>
    <definedName name="CHEQUE_HORZ_34" localSheetId="0">#REF!</definedName>
    <definedName name="CHEQUE_HORZ_34">#REF!</definedName>
    <definedName name="CHEQUE_VERT_34" localSheetId="0">#REF!</definedName>
    <definedName name="CHEQUE_VERT_34">#REF!</definedName>
    <definedName name="CLAVO_ACERO">#REF!</definedName>
    <definedName name="CLAVO_CORRIENTE">#REF!</definedName>
    <definedName name="CLAVO_ZINC">#REF!</definedName>
    <definedName name="CLAVOS" localSheetId="0">'[4]Analisis Detallado'!#REF!</definedName>
    <definedName name="clavos" localSheetId="6">#REF!</definedName>
    <definedName name="CLAVOS">'[4]Analisis Detallado'!#REF!</definedName>
    <definedName name="CLAVOZINC">[17]INS!$D$767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>#REF!</definedName>
    <definedName name="CODO_ELEC_1">#REF!</definedName>
    <definedName name="CODO_ELEC_12">#REF!</definedName>
    <definedName name="CODO_ELEC_1y12">#REF!</definedName>
    <definedName name="CODO_ELEC_2">#REF!</definedName>
    <definedName name="CODO_ELEC_34">#REF!</definedName>
    <definedName name="CODO_HG_1_12_x90">#REF!</definedName>
    <definedName name="CODO_HG_12x90">#REF!</definedName>
    <definedName name="CODO_HG_1x90">#REF!</definedName>
    <definedName name="CODO_HG_1y12x90">#REF!</definedName>
    <definedName name="CODO_HG_2x90">#REF!</definedName>
    <definedName name="CODO_HG_34x90">#REF!</definedName>
    <definedName name="CODO_PVC_DRE_2x45">#REF!</definedName>
    <definedName name="CODO_PVC_DRE_2x90">#REF!</definedName>
    <definedName name="CODO_PVC_DRE_3x45">#REF!</definedName>
    <definedName name="CODO_PVC_DRE_3x90">#REF!</definedName>
    <definedName name="CODO_PVC_DRE_4x45">#REF!</definedName>
    <definedName name="CODO_PVC_DRE_4x90">#REF!</definedName>
    <definedName name="CODO_PVC_PRES_12x90">#REF!</definedName>
    <definedName name="CODO_PVC_PRES_1x90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 localSheetId="0">#REF!</definedName>
    <definedName name="COLA_EXT_LAVAMANOS_PVC_1_14x8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>#REF!</definedName>
    <definedName name="COLC4">#REF!</definedName>
    <definedName name="COLOC_BLOCK4">#REF!</definedName>
    <definedName name="COLOC_BLOCK6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MPENS" localSheetId="0">#REF!</definedName>
    <definedName name="COMPENS" localSheetId="6">#REF!</definedName>
    <definedName name="COMPENS">#REF!</definedName>
    <definedName name="COMPRESOR">#REF!</definedName>
    <definedName name="COMPUERTA_1x1_VOLANTA">#REF!</definedName>
    <definedName name="CONTEN">#REF!</definedName>
    <definedName name="COPIA">[7]INS!#REF!</definedName>
    <definedName name="Criteria_MI" localSheetId="0">'[4]Analisis Detallado'!#REF!</definedName>
    <definedName name="Criteria_MI">'[4]Analisis Detallado'!#REF!</definedName>
    <definedName name="CRUZ_HG_1_12" localSheetId="0">#REF!</definedName>
    <definedName name="CRUZ_HG_1_12">#REF!</definedName>
    <definedName name="CTO" localSheetId="0">'[4]Analisis Detallado'!#REF!</definedName>
    <definedName name="CTO">'[4]Analisis Detallado'!#REF!</definedName>
    <definedName name="cuadro">[11]ADDENDA!#REF!</definedName>
    <definedName name="CUBETA_5Gls" localSheetId="0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0">#REF!</definedName>
    <definedName name="CUBO_GOMA">#REF!</definedName>
    <definedName name="CUBREFALTA_INODORO_CROMO_38" localSheetId="0">#REF!</definedName>
    <definedName name="CUBREFALTA_INODORO_CROMO_38">#REF!</definedName>
    <definedName name="CURVA_ELEC_PVC_12" localSheetId="0">#REF!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VP45X65">[5]INSUMOS!$H$73</definedName>
    <definedName name="CZINC">[8]M.O.!#REF!</definedName>
    <definedName name="derop">[9]M.O.!#REF!</definedName>
    <definedName name="DERRETIDO_BCO" localSheetId="0">#REF!</definedName>
    <definedName name="DERRETIDO_BCO">#REF!</definedName>
    <definedName name="DESAGUE_DOBLE_FREGADERO_PVC" localSheetId="0">#REF!</definedName>
    <definedName name="DESAGUE_DOBLE_FREGADERO_PVC">#REF!</definedName>
    <definedName name="DESCRIPCION">#N/A</definedName>
    <definedName name="desencofrado" localSheetId="0">#REF!</definedName>
    <definedName name="desencofrado">#REF!</definedName>
    <definedName name="DESENCOFRADO_COLS" localSheetId="0">#REF!</definedName>
    <definedName name="DESENCOFRADO_COLS">#REF!</definedName>
    <definedName name="DESENCOFRADO_LOSA" localSheetId="0">#REF!</definedName>
    <definedName name="DESENCOFRADO_LOSA">#REF!</definedName>
    <definedName name="DESENCOFRADO_MURO">#REF!</definedName>
    <definedName name="DESENCOFRADO_VIGA">#REF!</definedName>
    <definedName name="desencofradovigas">#REF!</definedName>
    <definedName name="DIA">#REF!</definedName>
    <definedName name="DISTRIBUCION_DE_AREAS_POR_NIVEL">#REF!</definedName>
    <definedName name="DOLAR" localSheetId="0">#REF!</definedName>
    <definedName name="DOLAR" localSheetId="6">#REF!</definedName>
    <definedName name="DOLAR">#REF!</definedName>
    <definedName name="donatelo">[18]INS!#REF!</definedName>
    <definedName name="DUCHA_PLASTICA_CALIENTE_CROMO_12" localSheetId="0">#REF!</definedName>
    <definedName name="DUCHA_PLASTICA_CALIENTE_CROMO_12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NCACHE">#REF!</definedName>
    <definedName name="ENCOF_COLS_1">#REF!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ncofradocolumna">#REF!</definedName>
    <definedName name="encofradorampa">#REF!</definedName>
    <definedName name="ESCALON_17x30">#REF!</definedName>
    <definedName name="ESCOBILLON">#REF!</definedName>
    <definedName name="ESTAMPADO">#REF!</definedName>
    <definedName name="ESTOPA">#REF!</definedName>
    <definedName name="expl">[11]ADDENDA!#REF!</definedName>
    <definedName name="Extracción_IM" localSheetId="0">#REF!</definedName>
    <definedName name="Extracción_IM">#REF!</definedName>
    <definedName name="FE" localSheetId="0">#REF!</definedName>
    <definedName name="FE" localSheetId="6">#REF!</definedName>
    <definedName name="FE">#REF!</definedName>
    <definedName name="FIOR">#REF!</definedName>
    <definedName name="FREGADERO_DOBLE_ACERO_INOX">#REF!</definedName>
    <definedName name="FREGADERO_SENCILLO_ACERO_INOX">#REF!</definedName>
    <definedName name="FSDFS">#REF!</definedName>
    <definedName name="FZ" localSheetId="0">#REF!</definedName>
    <definedName name="FZ" localSheetId="6">#REF!</definedName>
    <definedName name="FZ">#REF!</definedName>
    <definedName name="GAS_CIL">#REF!</definedName>
    <definedName name="GASOIL">#REF!</definedName>
    <definedName name="GASOLINA">[10]INS!$D$561</definedName>
    <definedName name="GAVIONES" localSheetId="0">#REF!</definedName>
    <definedName name="GAVIONES">#REF!</definedName>
    <definedName name="GENERADOR_DIESEL_400KW" localSheetId="0">#REF!</definedName>
    <definedName name="GENERADOR_DIESEL_400KW">#REF!</definedName>
    <definedName name="GRANITO_30x30" localSheetId="0">#REF!</definedName>
    <definedName name="GRANITO_30x30">#REF!</definedName>
    <definedName name="GRANITO_40x40">#REF!</definedName>
    <definedName name="GRANITO_FONDO_BCO_30x30">#REF!</definedName>
    <definedName name="GRANITO_FONDO_GRIS">#REF!</definedName>
    <definedName name="Grava">#REF!</definedName>
    <definedName name="GRAVILLA" localSheetId="0">'[4]Analisis Detallado'!#REF!</definedName>
    <definedName name="GRAVILLA">'[4]Analisis Detallado'!#REF!</definedName>
    <definedName name="GRUA" localSheetId="0">#REF!</definedName>
    <definedName name="GRUA">#REF!</definedName>
    <definedName name="HACHA" localSheetId="0">#REF!</definedName>
    <definedName name="HACHA">#REF!</definedName>
    <definedName name="HERR_MENO" localSheetId="0">#REF!</definedName>
    <definedName name="HERR_MENO">#REF!</definedName>
    <definedName name="HILO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 localSheetId="0">#REF!</definedName>
    <definedName name="Horm_124_TrompoyWinche">#REF!</definedName>
    <definedName name="HORM_IND_180" localSheetId="0">#REF!</definedName>
    <definedName name="HORM_IND_180">#REF!</definedName>
    <definedName name="HORM_IND_210" localSheetId="0">#REF!</definedName>
    <definedName name="HORM_IND_210">#REF!</definedName>
    <definedName name="HORM_IND_240">#REF!</definedName>
    <definedName name="HORM135_MANUAL">'[17]HORM.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80">#REF!</definedName>
    <definedName name="hormigon210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V" localSheetId="0">#REF!</definedName>
    <definedName name="IMPREV" localSheetId="6">#REF!</definedName>
    <definedName name="IMPREV">#REF!</definedName>
    <definedName name="IMPREVISTO" localSheetId="0">#REF!</definedName>
    <definedName name="IMPREVISTO" localSheetId="6">#REF!</definedName>
    <definedName name="IMPREVISTO">#REF!</definedName>
    <definedName name="Imprimir_área_IM">#REF!</definedName>
    <definedName name="ingeniera">[9]M.O.!$C$10</definedName>
    <definedName name="INODORO_BCO_TAPA" localSheetId="0">#REF!</definedName>
    <definedName name="INODORO_BCO_TAPA">#REF!</definedName>
    <definedName name="INSUMO_1" localSheetId="0">#REF!</definedName>
    <definedName name="INSUMO_1">#REF!</definedName>
    <definedName name="INTERRUPTOR_3w" localSheetId="0">#REF!</definedName>
    <definedName name="INTERRUPTOR_3w">#REF!</definedName>
    <definedName name="INTERRUPTOR_4w">#REF!</definedName>
    <definedName name="INTERRUPTOR_DOBLE">#REF!</definedName>
    <definedName name="INTERRUPTOR_SENC">#REF!</definedName>
    <definedName name="ITBIS" localSheetId="0">#REF!</definedName>
    <definedName name="ITBIS" localSheetId="6">#REF!</definedName>
    <definedName name="ITBIS">#REF!</definedName>
    <definedName name="JUNTA_CERA_INODORO">#REF!</definedName>
    <definedName name="JUNTA_DRESSER_12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LADRILLOS_4x8x2">#REF!</definedName>
    <definedName name="LAMPARA_FLUORESC_2x4">#REF!</definedName>
    <definedName name="LAMPARAS_DE_1500W_220V">[12]INSU!$B$41</definedName>
    <definedName name="LAQUEAR_MADERA" localSheetId="0">#REF!</definedName>
    <definedName name="LAQUEAR_MADERA">#REF!</definedName>
    <definedName name="LAVADERO_DOBLE" localSheetId="0">#REF!</definedName>
    <definedName name="LAVADERO_DOBLE">#REF!</definedName>
    <definedName name="LAVADERO_GRANITO_SENCILLO" localSheetId="0">#REF!</definedName>
    <definedName name="LAVADERO_GRANITO_SENCILLO">#REF!</definedName>
    <definedName name="LAVAMANO_19x17_BCO">#REF!</definedName>
    <definedName name="Ligadora2fdas">#REF!</definedName>
    <definedName name="LINEA_DE_CONDUC">#N/A</definedName>
    <definedName name="LLAVE_ANG_38">#REF!</definedName>
    <definedName name="LLAVE_CHORRO">#REF!</definedName>
    <definedName name="LLAVE_EMPOTRAR_CROMO_12">#REF!</definedName>
    <definedName name="LLAVE_PASO_1">#REF!</definedName>
    <definedName name="LLAVE_PASO_34">#REF!</definedName>
    <definedName name="LLAVE_SENCILLA">#REF!</definedName>
    <definedName name="LLAVIN_PUERTA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OSA12">#REF!</definedName>
    <definedName name="LOSA20">#REF!</definedName>
    <definedName name="LOSA30">#REF!</definedName>
    <definedName name="MA">[8]M.O.!$C$10</definedName>
    <definedName name="MACHETE" localSheetId="0">#REF!</definedName>
    <definedName name="MACHETE">#REF!</definedName>
    <definedName name="MACO" localSheetId="0">#REF!</definedName>
    <definedName name="MACO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 localSheetId="0">#REF!</definedName>
    <definedName name="Madera_P2">#REF!</definedName>
    <definedName name="maderabrutapino" localSheetId="0">#REF!</definedName>
    <definedName name="maderabrutapino">#REF!</definedName>
    <definedName name="Maestro" localSheetId="0">#REF!</definedName>
    <definedName name="Maestro">#REF!</definedName>
    <definedName name="MAESTROCARP" localSheetId="0">[10]INS!#REF!</definedName>
    <definedName name="MAESTROCARP">[10]INS!#REF!</definedName>
    <definedName name="MALLA_ABRAZ_1_12" localSheetId="0">#REF!</definedName>
    <definedName name="MALLA_ABRAZ_1_12">#REF!</definedName>
    <definedName name="MALLA_AL_GALVANIZADO" localSheetId="0">#REF!</definedName>
    <definedName name="MALLA_AL_GALVANIZADO">#REF!</definedName>
    <definedName name="MALLA_AL_PUAS" localSheetId="0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RCO_PUERTA_PINO">#REF!</definedName>
    <definedName name="MATERIAL_RELLENO">#REF!</definedName>
    <definedName name="MBA">#REF!</definedName>
    <definedName name="MEXCLADORA_LAVAMANOS">#REF!</definedName>
    <definedName name="MEZCLA_CAL_ARENA_PISOS">#REF!</definedName>
    <definedName name="MezclaAntillana">#REF!</definedName>
    <definedName name="mezclajuntabloque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#REF!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cero">#REF!</definedName>
    <definedName name="moaceromalla">#REF!</definedName>
    <definedName name="moacerorampa">#REF!</definedName>
    <definedName name="MOLDE_ESTAMPADO">#REF!</definedName>
    <definedName name="MOPISOCERAMICA">[10]INS!#REF!</definedName>
    <definedName name="MORTB" localSheetId="0">'[4]Analisis Detallado'!#REF!</definedName>
    <definedName name="MORTB">'[4]Analisis Detallado'!#REF!</definedName>
    <definedName name="MOTONIVELADORA" localSheetId="0">#REF!</definedName>
    <definedName name="MOTONIVELADORA">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NADA" localSheetId="0">#REF!</definedName>
    <definedName name="NADA" localSheetId="6">#REF!</definedName>
    <definedName name="NADA">#REF!</definedName>
    <definedName name="NINGUNA">[19]Insumos!#REF!</definedName>
    <definedName name="NIPLE_ACERO_12x3" localSheetId="0">#REF!</definedName>
    <definedName name="NIPLE_ACERO_12x3">#REF!</definedName>
    <definedName name="NIPLE_ACERO_16x2" localSheetId="0">#REF!</definedName>
    <definedName name="NIPLE_ACERO_16x2">#REF!</definedName>
    <definedName name="NIPLE_ACERO_16x3" localSheetId="0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>#REF!</definedName>
    <definedName name="numero" localSheetId="0">ROUND(#REF!*#REF!,2)</definedName>
    <definedName name="numero">ROUND(#REF!*#REF!,2)</definedName>
    <definedName name="OPERADOR_GREADER">#REF!</definedName>
    <definedName name="OPERADOR_PALA">#REF!</definedName>
    <definedName name="OPERADOR_TRACTOR">#REF!</definedName>
    <definedName name="Operario_1ra">#REF!</definedName>
    <definedName name="Operario_2da">#REF!</definedName>
    <definedName name="Operario_3ra">#REF!</definedName>
    <definedName name="OPERARIOPRIMERA">[17]SALARIOS!$C$10</definedName>
    <definedName name="OXIGENO_CIL" localSheetId="0">#REF!</definedName>
    <definedName name="OXIGENO_CIL">#REF!</definedName>
    <definedName name="p" localSheetId="0">[20]peso!#REF!</definedName>
    <definedName name="p">[20]peso!#REF!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LA">#REF!</definedName>
    <definedName name="PALA_950">#REF!</definedName>
    <definedName name="PANEL_DIST_24C">#REF!</definedName>
    <definedName name="PANEL_DIST_32C">#REF!</definedName>
    <definedName name="PANEL_DIST_4a8C">#REF!</definedName>
    <definedName name="PanelDist_6a12_Circ_125a">#REF!</definedName>
    <definedName name="PARARRAYOS_9KV">#REF!</definedName>
    <definedName name="PD" localSheetId="0">#REF!</definedName>
    <definedName name="PD" localSheetId="6">#REF!</definedName>
    <definedName name="PD">#REF!</definedName>
    <definedName name="Peon">#REF!</definedName>
    <definedName name="Peon_1">#REF!</definedName>
    <definedName name="Peon_Colchas">[12]MO!$B$11</definedName>
    <definedName name="PEONCARP">[10]INS!#REF!</definedName>
    <definedName name="PERFIL_CUADRADO_34">[12]INSU!$B$91</definedName>
    <definedName name="Pernos" localSheetId="0">#REF!</definedName>
    <definedName name="Pernos">#REF!</definedName>
    <definedName name="PICO" localSheetId="0">#REF!</definedName>
    <definedName name="PICO">#REF!</definedName>
    <definedName name="PIEDRA" localSheetId="0">#REF!</definedName>
    <definedName name="PIEDRA">#REF!</definedName>
    <definedName name="PIEDRA_GAVIONES">#REF!</definedName>
    <definedName name="PINO">[21]insumos!$D$295</definedName>
    <definedName name="PINTURA_ACR_COLOR_PREPARADO" localSheetId="0">#REF!</definedName>
    <definedName name="PINTURA_ACR_COLOR_PREPARADO">#REF!</definedName>
    <definedName name="PINTURA_ACR_EXT" localSheetId="0">#REF!</definedName>
    <definedName name="PINTURA_ACR_EXT">#REF!</definedName>
    <definedName name="PINTURA_ACR_INT" localSheetId="0">#REF!</definedName>
    <definedName name="PINTURA_ACR_INT">#REF!</definedName>
    <definedName name="PINTURA_BASE">#REF!</definedName>
    <definedName name="PINTURA_MANTENIMIENTO">#REF!</definedName>
    <definedName name="PINTURA_OXIDO_ROJO">#REF!</definedName>
    <definedName name="PISO_GRANITO_FONDO_BCO">[12]INSU!$B$103</definedName>
    <definedName name="PLANTA_ELECTRICA" localSheetId="0">#REF!</definedName>
    <definedName name="PLANTA_ELECTRICA">#REF!</definedName>
    <definedName name="plastbau" localSheetId="0">#REF!</definedName>
    <definedName name="plastbau" localSheetId="5">#REF!</definedName>
    <definedName name="plastbau">#REF!</definedName>
    <definedName name="PLASTICO">[12]INSU!$B$90</definedName>
    <definedName name="PLIGADORA2">[10]INS!$D$563</definedName>
    <definedName name="PLOMERO">[10]INS!#REF!</definedName>
    <definedName name="PLOMERO_SOLDADOR" localSheetId="0">#REF!</definedName>
    <definedName name="PLOMERO_SOLDADOR">#REF!</definedName>
    <definedName name="PLOMEROAYUDANTE" localSheetId="0">[10]INS!#REF!</definedName>
    <definedName name="PLOMEROAYUDANTE">[10]INS!#REF!</definedName>
    <definedName name="PLOMEROOFICIAL" localSheetId="0">[10]INS!#REF!</definedName>
    <definedName name="PLOMEROOFICIAL">[10]INS!#REF!</definedName>
    <definedName name="PLYWOOD_34_2CARAS" localSheetId="0">#REF!</definedName>
    <definedName name="PLYWOOD_34_2CARAS">#REF!</definedName>
    <definedName name="pmadera2162" localSheetId="0">[14]precios!#REF!</definedName>
    <definedName name="pmadera2162">[14]precios!#REF!</definedName>
    <definedName name="po">[22]PRESUPUESTO!$O$9:$O$236</definedName>
    <definedName name="porcentaje" localSheetId="0">#REF!*#REF!</definedName>
    <definedName name="porcentaje" localSheetId="5">#REF!*#REF!</definedName>
    <definedName name="porcentaje">#REF!*#REF!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REC._UNITARIO">#N/A</definedName>
    <definedName name="precios">[23]Precios!$A$4:$F$1576</definedName>
    <definedName name="PRESUPUESTO">#N/A</definedName>
    <definedName name="Print_Area_MI" localSheetId="0">#REF!</definedName>
    <definedName name="Print_Area_MI" localSheetId="5">#REF!</definedName>
    <definedName name="Print_Area_MI">#REF!</definedName>
    <definedName name="PUERTA_PANEL_PINO">#REF!</definedName>
    <definedName name="PUERTA_PLYWOOD">#REF!</definedName>
    <definedName name="PULIDO_Y_BRILLADO_ESCALON">#REF!</definedName>
    <definedName name="PULIDOyBRILLADO_TC">#REF!</definedName>
    <definedName name="PVCC1" localSheetId="0">'[4]Analisis Detallado'!#REF!</definedName>
    <definedName name="PVCC1" localSheetId="5">'[4]Analisis Detallado'!#REF!</definedName>
    <definedName name="PVCC1">'[4]Analisis Detallado'!#REF!</definedName>
    <definedName name="PVCC1_1_2" localSheetId="0">'[4]Analisis Detallado'!#REF!</definedName>
    <definedName name="PVCC1_1_2" localSheetId="5">'[4]Analisis Detallado'!#REF!</definedName>
    <definedName name="PVCC1_1_2">'[4]Analisis Detallado'!#REF!</definedName>
    <definedName name="PVCC1_1_4" localSheetId="0">'[4]Analisis Detallado'!#REF!</definedName>
    <definedName name="PVCC1_1_4" localSheetId="5">'[4]Analisis Detallado'!#REF!</definedName>
    <definedName name="PVCC1_1_4">'[4]Analisis Detallado'!#REF!</definedName>
    <definedName name="PVCC1_2" localSheetId="0">'[4]Analisis Detallado'!#REF!</definedName>
    <definedName name="PVCC1_2" localSheetId="5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[10]INS!$D$568</definedName>
    <definedName name="Q" localSheetId="0">#REF!</definedName>
    <definedName name="Q">#REF!</definedName>
    <definedName name="qw">[22]PRESUPUESTO!$M$10:$AH$731</definedName>
    <definedName name="qwe">[24]INSU!$D$133</definedName>
    <definedName name="RASTRILLO" localSheetId="0">#REF!</definedName>
    <definedName name="RASTRILLO">#REF!</definedName>
    <definedName name="REDUCCION_BUSHING_HG_12x38" localSheetId="0">#REF!</definedName>
    <definedName name="REDUCCION_BUSHING_HG_12x38">#REF!</definedName>
    <definedName name="REDUCCION_PVC_34a12" localSheetId="0">#REF!</definedName>
    <definedName name="REDUCCION_PVC_34a12">#REF!</definedName>
    <definedName name="REDUCCION_PVC_DREN_4x2">#REF!</definedName>
    <definedName name="REFERENCIA">[25]COF!$G$733</definedName>
    <definedName name="REGISTRO_ELEC_6x6" localSheetId="0">#REF!</definedName>
    <definedName name="REGISTRO_ELEC_6x6">#REF!</definedName>
    <definedName name="REGLA_PAÑETE" localSheetId="0">#REF!</definedName>
    <definedName name="REGLA_PAÑETE">#REF!</definedName>
    <definedName name="REJILLA_PISO" localSheetId="0">#REF!</definedName>
    <definedName name="REJILLA_PISO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>#REF!</definedName>
    <definedName name="REVESTIMIENTO_CERAMICA_20x20">#REF!</definedName>
    <definedName name="RODILLO_CAT_815">#REF!</definedName>
    <definedName name="ROSETA">#REF!</definedName>
    <definedName name="SALARIO">#REF!</definedName>
    <definedName name="SALIDA">#N/A</definedName>
    <definedName name="SDSDFSDFSDF">#REF!</definedName>
    <definedName name="SEGUETA">#REF!</definedName>
    <definedName name="SIERRA_ELECTRICA">#REF!</definedName>
    <definedName name="SIFON_PVC_1_12">#REF!</definedName>
    <definedName name="SIFON_PVC_1_14">#REF!</definedName>
    <definedName name="SIFON_PVC_2">#REF!</definedName>
    <definedName name="SIFON_PVC_4">#REF!</definedName>
    <definedName name="SILICONE">#REF!</definedName>
    <definedName name="SOLDADORA">#REF!</definedName>
    <definedName name="spm">#REF!</definedName>
    <definedName name="SS">[15]M.O.!$C$12</definedName>
    <definedName name="SUB_TOTAL" localSheetId="0">#REF!</definedName>
    <definedName name="SUB_TOTAL">#REF!</definedName>
    <definedName name="TANQUE_55Gls" localSheetId="0">#REF!</definedName>
    <definedName name="TANQUE_55Gls">#REF!</definedName>
    <definedName name="TAPA_ALUMINIO_1x1" localSheetId="0">#REF!</definedName>
    <definedName name="TAPA_ALUMINIO_1x1">#REF!</definedName>
    <definedName name="TAPA_REGISTRO_HF">#REF!</definedName>
    <definedName name="TAPA_REGISTRO_HF_LIVIANA">#REF!</definedName>
    <definedName name="TAPE_3M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 localSheetId="0">#REF!</definedName>
    <definedName name="TEE_ACERO_12x8">#REF!</definedName>
    <definedName name="TEE_ACERO_16x12" localSheetId="0">#REF!</definedName>
    <definedName name="TEE_ACERO_16x12">#REF!</definedName>
    <definedName name="TEE_ACERO_16x16" localSheetId="0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>#REF!</definedName>
    <definedName name="TEE_HG_1">#REF!</definedName>
    <definedName name="TEE_HG_1_12">#REF!</definedName>
    <definedName name="TEE_HG_12">#REF!</definedName>
    <definedName name="TEE_HG_34">#REF!</definedName>
    <definedName name="TEE_PVC_PRES_1">#REF!</definedName>
    <definedName name="TEE_PVC_PRES_12">#REF!</definedName>
    <definedName name="TEE_PVC_PRES_34">#REF!</definedName>
    <definedName name="TEFLON">#REF!</definedName>
    <definedName name="THINNER">#REF!</definedName>
    <definedName name="_xlnm.Print_Titles" localSheetId="7">ANALISISDECOSTO!$A$1:$IV$3</definedName>
    <definedName name="_xlnm.Print_Titles" localSheetId="0">'Cancha camino vertedero'!$A:$F,'Cancha camino vertedero'!$1:$9</definedName>
    <definedName name="_xlnm.Print_Titles" localSheetId="6">ELEC!$A$2:$IV$4</definedName>
    <definedName name="_xlnm.Print_Titles">#N/A</definedName>
    <definedName name="Tolas" localSheetId="0">#REF!</definedName>
    <definedName name="Tolas">#REF!</definedName>
    <definedName name="TOMACORRIENTE_110V" localSheetId="0">#REF!</definedName>
    <definedName name="TOMACORRIENTE_110V">#REF!</definedName>
    <definedName name="TOMACORRIENTE_220V_SENC" localSheetId="0">#REF!</definedName>
    <definedName name="TOMACORRIENTE_220V_SENC">#REF!</definedName>
    <definedName name="TOMACORRIENTE_30a">#REF!</definedName>
    <definedName name="Topografo">#REF!</definedName>
    <definedName name="TORNILLOS">#REF!</definedName>
    <definedName name="TORNILLOS_INODORO">#REF!</definedName>
    <definedName name="TP1_" localSheetId="0">'[4]Analisis Detallado'!#REF!</definedName>
    <definedName name="TP1_" localSheetId="5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 localSheetId="0">#REF!</definedName>
    <definedName name="TRACTOR_D8K">#REF!</definedName>
    <definedName name="TRANSFER_MANUAL_150_3AMPS" localSheetId="0">#REF!</definedName>
    <definedName name="TRANSFER_MANUAL_150_3AMPS">#REF!</definedName>
    <definedName name="TRANSFER_MANUAL_800_3AMPS" localSheetId="0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 localSheetId="8">#REF!</definedName>
    <definedName name="TRANSFORMADOR_25KVA_240_480_POSTE">#REF!</definedName>
    <definedName name="Trompo" localSheetId="8">#REF!</definedName>
    <definedName name="Trompo">#REF!</definedName>
    <definedName name="TUBO_ACERO_16" localSheetId="8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>#REF!</definedName>
    <definedName name="TUBO_FLEXIBLE_INODORO_C_TUERCA">#REF!</definedName>
    <definedName name="TUBO_HA_36">#REF!</definedName>
    <definedName name="TUBO_HG_1">#REF!</definedName>
    <definedName name="TUBO_HG_1_12">#REF!</definedName>
    <definedName name="TUBO_HG_12">#REF!</definedName>
    <definedName name="TUBO_HG_34">#REF!</definedName>
    <definedName name="TUBO_PVC_DRENAJE_1_12">#REF!</definedName>
    <definedName name="TUBO_PVC_SCH40_12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>#REF!</definedName>
    <definedName name="TUBO_PVC_SDR41_4">#REF!</definedName>
    <definedName name="TWST1" localSheetId="0">'[4]Analisis Detallado'!#REF!</definedName>
    <definedName name="TWST1" localSheetId="8">'[4]Analisis Detallado'!#REF!</definedName>
    <definedName name="TWST1">'[4]Analisis Detallado'!#REF!</definedName>
    <definedName name="TWST1_0" localSheetId="0">'[4]Analisis Detallado'!#REF!</definedName>
    <definedName name="TWST1_0" localSheetId="8">'[4]Analisis Detallado'!#REF!</definedName>
    <definedName name="TWST1_0">'[4]Analisis Detallado'!#REF!</definedName>
    <definedName name="TWST10" localSheetId="0">'[4]Analisis Detallado'!#REF!</definedName>
    <definedName name="TWST10" localSheetId="8">'[4]Analisis Detallado'!#REF!</definedName>
    <definedName name="TWST10">'[4]Analisis Detallado'!#REF!</definedName>
    <definedName name="TWST12" localSheetId="0">'[4]Analisis Detallado'!#REF!</definedName>
    <definedName name="TWST12" localSheetId="8">'[4]Analisis Detallado'!#REF!</definedName>
    <definedName name="TWST12">'[4]Analisis Detallado'!#REF!</definedName>
    <definedName name="TWST14" localSheetId="0">'[4]Analisis Detallado'!#REF!</definedName>
    <definedName name="TWST14" localSheetId="8">'[4]Analisis Detallado'!#REF!</definedName>
    <definedName name="TWST14">'[4]Analisis Detallado'!#REF!</definedName>
    <definedName name="TWST16" localSheetId="0">'[4]Analisis Detallado'!#REF!</definedName>
    <definedName name="TWST16" localSheetId="8">'[4]Analisis Detallado'!#REF!</definedName>
    <definedName name="TWST16">'[4]Analisis Detallado'!#REF!</definedName>
    <definedName name="TWST18" localSheetId="0">'[4]Analisis Detallado'!#REF!</definedName>
    <definedName name="TWST18" localSheetId="8">'[4]Analisis Detallado'!#REF!</definedName>
    <definedName name="TWST18">'[4]Analisis Detallado'!#REF!</definedName>
    <definedName name="TWST2" localSheetId="0">'[4]Analisis Detallado'!#REF!</definedName>
    <definedName name="TWST2" localSheetId="8">'[4]Analisis Detallado'!#REF!</definedName>
    <definedName name="TWST2">'[4]Analisis Detallado'!#REF!</definedName>
    <definedName name="TWST2_0" localSheetId="0">'[4]Analisis Detallado'!#REF!</definedName>
    <definedName name="TWST2_0" localSheetId="8">'[4]Analisis Detallado'!#REF!</definedName>
    <definedName name="TWST2_0">'[4]Analisis Detallado'!#REF!</definedName>
    <definedName name="TWST20" localSheetId="0">'[4]Analisis Detallado'!#REF!</definedName>
    <definedName name="TWST20" localSheetId="8">'[4]Analisis Detallado'!#REF!</definedName>
    <definedName name="TWST20">'[4]Analisis Detallado'!#REF!</definedName>
    <definedName name="TWST3_0" localSheetId="0">'[4]Analisis Detallado'!#REF!</definedName>
    <definedName name="TWST3_0" localSheetId="8">'[4]Analisis Detallado'!#REF!</definedName>
    <definedName name="TWST3_0">'[4]Analisis Detallado'!#REF!</definedName>
    <definedName name="TWST4" localSheetId="0">'[4]Analisis Detallado'!#REF!</definedName>
    <definedName name="TWST4" localSheetId="8">'[4]Analisis Detallado'!#REF!</definedName>
    <definedName name="TWST4">'[4]Analisis Detallado'!#REF!</definedName>
    <definedName name="TWST4_0" localSheetId="0">'[4]Analisis Detallado'!#REF!</definedName>
    <definedName name="TWST4_0" localSheetId="8">'[4]Analisis Detallado'!#REF!</definedName>
    <definedName name="TWST4_0">'[4]Analisis Detallado'!#REF!</definedName>
    <definedName name="TWST6" localSheetId="0">'[4]Analisis Detallado'!#REF!</definedName>
    <definedName name="TWST6" localSheetId="8">'[4]Analisis Detallado'!#REF!</definedName>
    <definedName name="TWST6">'[4]Analisis Detallado'!#REF!</definedName>
    <definedName name="TWST8" localSheetId="0">'[4]Analisis Detallado'!#REF!</definedName>
    <definedName name="TWST8" localSheetId="8">'[4]Analisis Detallado'!#REF!</definedName>
    <definedName name="TWST8">'[4]Analisis Detallado'!#REF!</definedName>
    <definedName name="TYPE_3M" localSheetId="0">#REF!</definedName>
    <definedName name="TYPE_3M" localSheetId="8">#REF!</definedName>
    <definedName name="TYPE_3M">#REF!</definedName>
    <definedName name="UND">#N/A</definedName>
    <definedName name="UNION_HG_1" localSheetId="0">#REF!</definedName>
    <definedName name="UNION_HG_1" localSheetId="8">#REF!</definedName>
    <definedName name="UNION_HG_1">#REF!</definedName>
    <definedName name="UNION_HG_12" localSheetId="0">#REF!</definedName>
    <definedName name="UNION_HG_12">#REF!</definedName>
    <definedName name="UNION_HG_34" localSheetId="0">#REF!</definedName>
    <definedName name="UNION_HG_34">#REF!</definedName>
    <definedName name="UNION_PVC_PRES_12">#REF!</definedName>
    <definedName name="UNION_PVC_PRES_34">#REF!</definedName>
    <definedName name="vaciadohormigonindustrial">#REF!</definedName>
    <definedName name="vaciadozapata">#REF!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RILLA_BLOQUES_20">#REF!</definedName>
    <definedName name="VARILLA_BLOQUES_40">#REF!</definedName>
    <definedName name="VARILLA_BLOQUES_60">#REF!</definedName>
    <definedName name="VARILLA_BLOQUES_80">#REF!</definedName>
    <definedName name="VCOLGANTE1590">#REF!</definedName>
    <definedName name="VIBRADO">#REF!</definedName>
    <definedName name="VIGASHP">#REF!</definedName>
    <definedName name="VIOLINADO">#REF!</definedName>
    <definedName name="VUELO10">#REF!</definedName>
    <definedName name="Winche">#REF!</definedName>
    <definedName name="YEE_PVC_DREN_2">#REF!</definedName>
    <definedName name="YEE_PVC_DREN_3">#REF!</definedName>
    <definedName name="YEE_PVC_DREN_4">#REF!</definedName>
    <definedName name="YEE_PVC_DREN_4x2">#REF!</definedName>
    <definedName name="ZINC_CAL26_3x6">#REF!</definedName>
    <definedName name="ZM8H" localSheetId="0">'[4]Analisis Detallado'!#REF!</definedName>
    <definedName name="ZM8H" localSheetId="8">'[4]Analisis Detallado'!#REF!</definedName>
    <definedName name="ZM8H">'[4]Analisis Detallado'!#REF!</definedName>
    <definedName name="ZOCALO_8x34" localSheetId="0">#REF!</definedName>
    <definedName name="ZOCALO_8x34">#REF!</definedName>
  </definedNames>
  <calcPr calcId="162913"/>
</workbook>
</file>

<file path=xl/calcChain.xml><?xml version="1.0" encoding="utf-8"?>
<calcChain xmlns="http://schemas.openxmlformats.org/spreadsheetml/2006/main">
  <c r="A28" i="38" l="1"/>
  <c r="A16" i="38" l="1"/>
  <c r="F16" i="38"/>
  <c r="F28" i="38"/>
  <c r="A24" i="38" l="1"/>
  <c r="A25" i="38" s="1"/>
  <c r="A20" i="38"/>
  <c r="A21" i="38" s="1"/>
  <c r="A12" i="38"/>
  <c r="A13" i="38" s="1"/>
  <c r="F31" i="38" l="1"/>
  <c r="F32" i="38" s="1"/>
  <c r="F25" i="38"/>
  <c r="F24" i="38"/>
  <c r="F21" i="38"/>
  <c r="F20" i="38"/>
  <c r="F17" i="38"/>
  <c r="F13" i="38"/>
  <c r="F12" i="38"/>
  <c r="F22" i="38" l="1"/>
  <c r="F14" i="38"/>
  <c r="F26" i="38"/>
  <c r="F29" i="38"/>
  <c r="F34" i="38" l="1"/>
  <c r="F36" i="38" s="1"/>
  <c r="F5" i="39"/>
  <c r="F6" i="39"/>
  <c r="F7" i="39"/>
  <c r="F8" i="39"/>
  <c r="F9" i="39"/>
  <c r="F10" i="39"/>
  <c r="F4" i="39"/>
  <c r="F44" i="38" l="1"/>
  <c r="F38" i="38"/>
  <c r="F11" i="39"/>
  <c r="G12" i="39" s="1"/>
  <c r="C198" i="13" l="1"/>
  <c r="C467" i="13" l="1"/>
  <c r="C466" i="13"/>
  <c r="C464" i="13"/>
  <c r="C463" i="13"/>
  <c r="H454" i="13" l="1"/>
  <c r="C447" i="13"/>
  <c r="F447" i="13" s="1"/>
  <c r="C446" i="13"/>
  <c r="F446" i="13" s="1"/>
  <c r="F445" i="13"/>
  <c r="C457" i="13"/>
  <c r="F457" i="13" s="1"/>
  <c r="C456" i="13"/>
  <c r="F456" i="13" s="1"/>
  <c r="F455" i="13"/>
  <c r="F469" i="13"/>
  <c r="C468" i="13"/>
  <c r="F468" i="13" s="1"/>
  <c r="F466" i="13"/>
  <c r="C465" i="13"/>
  <c r="F465" i="13" s="1"/>
  <c r="E464" i="13"/>
  <c r="F464" i="13" s="1"/>
  <c r="F463" i="13"/>
  <c r="F35" i="28" l="1"/>
  <c r="G35" i="28" s="1"/>
  <c r="F39" i="28"/>
  <c r="G39" i="28" s="1"/>
  <c r="F38" i="28"/>
  <c r="G38" i="28" s="1"/>
  <c r="F36" i="28"/>
  <c r="G36" i="28" s="1"/>
  <c r="C35" i="28"/>
  <c r="F37" i="28" l="1"/>
  <c r="G37" i="28" s="1"/>
  <c r="G40" i="28"/>
  <c r="G42" i="28" s="1"/>
  <c r="H159" i="18"/>
  <c r="H158" i="18"/>
  <c r="C438" i="13" l="1"/>
  <c r="F438" i="13" s="1"/>
  <c r="C437" i="13"/>
  <c r="F437" i="13" s="1"/>
  <c r="C435" i="13"/>
  <c r="F435" i="13" s="1"/>
  <c r="C434" i="13"/>
  <c r="F434" i="13" s="1"/>
  <c r="F433" i="13"/>
  <c r="I423" i="13"/>
  <c r="H423" i="13"/>
  <c r="I422" i="13"/>
  <c r="H422" i="13"/>
  <c r="C426" i="13"/>
  <c r="C393" i="13"/>
  <c r="F428" i="13"/>
  <c r="C427" i="13"/>
  <c r="F427" i="13" s="1"/>
  <c r="F425" i="13"/>
  <c r="C424" i="13"/>
  <c r="F424" i="13" s="1"/>
  <c r="F423" i="13"/>
  <c r="F422" i="13"/>
  <c r="C415" i="13"/>
  <c r="F417" i="13"/>
  <c r="C416" i="13"/>
  <c r="F416" i="13" s="1"/>
  <c r="F414" i="13"/>
  <c r="C413" i="13"/>
  <c r="F413" i="13" s="1"/>
  <c r="F412" i="13"/>
  <c r="F411" i="13"/>
  <c r="C404" i="13"/>
  <c r="F406" i="13"/>
  <c r="C405" i="13"/>
  <c r="F405" i="13" s="1"/>
  <c r="F403" i="13"/>
  <c r="C402" i="13"/>
  <c r="F402" i="13" s="1"/>
  <c r="F401" i="13"/>
  <c r="F400" i="13"/>
  <c r="H390" i="13"/>
  <c r="I390" i="13" s="1"/>
  <c r="J390" i="13" s="1"/>
  <c r="K390" i="13" s="1"/>
  <c r="H389" i="13"/>
  <c r="I389" i="13" s="1"/>
  <c r="J389" i="13" s="1"/>
  <c r="F395" i="13"/>
  <c r="C394" i="13"/>
  <c r="F394" i="13" s="1"/>
  <c r="F392" i="13"/>
  <c r="C391" i="13"/>
  <c r="F391" i="13" s="1"/>
  <c r="E390" i="13"/>
  <c r="F390" i="13" s="1"/>
  <c r="F389" i="13"/>
  <c r="E51" i="28" l="1"/>
  <c r="E50" i="28"/>
  <c r="E49" i="28"/>
  <c r="E48" i="28"/>
  <c r="E47" i="28"/>
  <c r="E46" i="28"/>
  <c r="C39" i="28"/>
  <c r="D39" i="28" s="1"/>
  <c r="C38" i="28"/>
  <c r="D38" i="28" s="1"/>
  <c r="C36" i="28"/>
  <c r="D36" i="28" s="1"/>
  <c r="D35" i="28"/>
  <c r="C37" i="28"/>
  <c r="D37" i="28" s="1"/>
  <c r="F32" i="28"/>
  <c r="D40" i="28" l="1"/>
  <c r="D42" i="28" s="1"/>
  <c r="L186" i="18" l="1"/>
  <c r="F186" i="18"/>
  <c r="F185" i="18"/>
  <c r="F184" i="18"/>
  <c r="F183" i="18"/>
  <c r="E189" i="18" l="1"/>
  <c r="F189" i="18" s="1"/>
  <c r="E191" i="18" s="1"/>
  <c r="F191" i="18" s="1"/>
  <c r="F193" i="18" s="1"/>
  <c r="C29" i="15" l="1"/>
  <c r="F31" i="15"/>
  <c r="F30" i="15"/>
  <c r="H343" i="17"/>
  <c r="C381" i="13"/>
  <c r="C384" i="13"/>
  <c r="F384" i="13" s="1"/>
  <c r="C383" i="13"/>
  <c r="F383" i="13" s="1"/>
  <c r="F381" i="13"/>
  <c r="C380" i="13"/>
  <c r="F380" i="13" s="1"/>
  <c r="F379" i="13"/>
  <c r="F374" i="13"/>
  <c r="C373" i="13"/>
  <c r="F373" i="13" s="1"/>
  <c r="C372" i="13"/>
  <c r="F371" i="13"/>
  <c r="C370" i="13"/>
  <c r="F370" i="13" s="1"/>
  <c r="F369" i="13"/>
  <c r="F368" i="13"/>
  <c r="C361" i="13"/>
  <c r="C350" i="13"/>
  <c r="C339" i="13"/>
  <c r="I360" i="13"/>
  <c r="J360" i="13" s="1"/>
  <c r="F363" i="13"/>
  <c r="C362" i="13"/>
  <c r="F362" i="13" s="1"/>
  <c r="F360" i="13"/>
  <c r="C359" i="13"/>
  <c r="F359" i="13" s="1"/>
  <c r="F358" i="13"/>
  <c r="F357" i="13"/>
  <c r="J347" i="13"/>
  <c r="I347" i="13"/>
  <c r="F352" i="13"/>
  <c r="F349" i="13"/>
  <c r="C348" i="13"/>
  <c r="F348" i="13" s="1"/>
  <c r="F346" i="13"/>
  <c r="F341" i="13"/>
  <c r="C340" i="13"/>
  <c r="F340" i="13" s="1"/>
  <c r="F338" i="13"/>
  <c r="C337" i="13"/>
  <c r="F337" i="13" s="1"/>
  <c r="E336" i="13"/>
  <c r="F336" i="13" s="1"/>
  <c r="F335" i="13"/>
  <c r="I332" i="13"/>
  <c r="I331" i="13"/>
  <c r="J330" i="13"/>
  <c r="C330" i="13"/>
  <c r="F330" i="13" s="1"/>
  <c r="C329" i="13"/>
  <c r="F329" i="13" s="1"/>
  <c r="F328" i="13"/>
  <c r="H317" i="13"/>
  <c r="C321" i="13"/>
  <c r="F321" i="13" s="1"/>
  <c r="C320" i="13"/>
  <c r="F320" i="13" s="1"/>
  <c r="F319" i="13"/>
  <c r="F347" i="13" l="1"/>
  <c r="C351" i="13"/>
  <c r="F351" i="13" s="1"/>
  <c r="E164" i="18" l="1"/>
  <c r="E171" i="18" s="1"/>
  <c r="F171" i="18" s="1"/>
  <c r="F178" i="18"/>
  <c r="E177" i="18"/>
  <c r="E176" i="18"/>
  <c r="C176" i="18"/>
  <c r="C177" i="18" s="1"/>
  <c r="F175" i="18"/>
  <c r="F174" i="18"/>
  <c r="C170" i="18"/>
  <c r="F167" i="18"/>
  <c r="E170" i="18"/>
  <c r="C163" i="18"/>
  <c r="C160" i="18"/>
  <c r="C158" i="18"/>
  <c r="C159" i="18" s="1"/>
  <c r="F153" i="18"/>
  <c r="F152" i="18"/>
  <c r="D151" i="18"/>
  <c r="C150" i="18"/>
  <c r="C151" i="18" s="1"/>
  <c r="C149" i="18"/>
  <c r="B149" i="18"/>
  <c r="C148" i="18"/>
  <c r="F279" i="13"/>
  <c r="D278" i="13"/>
  <c r="C276" i="13"/>
  <c r="F275" i="13"/>
  <c r="F274" i="13"/>
  <c r="C137" i="18"/>
  <c r="F143" i="18"/>
  <c r="F142" i="18"/>
  <c r="F141" i="18"/>
  <c r="C139" i="18"/>
  <c r="C140" i="18" s="1"/>
  <c r="E77" i="23"/>
  <c r="E74" i="23"/>
  <c r="E53" i="23"/>
  <c r="F53" i="23" s="1"/>
  <c r="E29" i="23"/>
  <c r="E42" i="23" s="1"/>
  <c r="E28" i="23"/>
  <c r="E39" i="23" s="1"/>
  <c r="E20" i="23"/>
  <c r="E31" i="23" s="1"/>
  <c r="E19" i="23"/>
  <c r="E30" i="23" s="1"/>
  <c r="F30" i="23" s="1"/>
  <c r="F78" i="23"/>
  <c r="F77" i="23"/>
  <c r="F76" i="23"/>
  <c r="F75" i="23"/>
  <c r="F74" i="23"/>
  <c r="F72" i="23"/>
  <c r="F67" i="23"/>
  <c r="D66" i="23"/>
  <c r="F65" i="23"/>
  <c r="F64" i="23"/>
  <c r="F63" i="23"/>
  <c r="F62" i="23"/>
  <c r="F56" i="23"/>
  <c r="F55" i="23"/>
  <c r="F46" i="23"/>
  <c r="F44" i="23"/>
  <c r="F43" i="23"/>
  <c r="E40" i="23"/>
  <c r="F40" i="23" s="1"/>
  <c r="F34" i="23"/>
  <c r="F32" i="23"/>
  <c r="F29" i="23"/>
  <c r="F28" i="23"/>
  <c r="F23" i="23"/>
  <c r="F21" i="23"/>
  <c r="F20" i="23"/>
  <c r="F18" i="23"/>
  <c r="F17" i="23"/>
  <c r="F12" i="23"/>
  <c r="F10" i="23"/>
  <c r="F9" i="23"/>
  <c r="F8" i="23"/>
  <c r="F7" i="23"/>
  <c r="F6" i="23"/>
  <c r="F129" i="15"/>
  <c r="F128" i="15"/>
  <c r="F127" i="15"/>
  <c r="F131" i="15"/>
  <c r="F130" i="13"/>
  <c r="F129" i="13"/>
  <c r="F128" i="13"/>
  <c r="F19" i="23" l="1"/>
  <c r="E22" i="23" s="1"/>
  <c r="F22" i="23" s="1"/>
  <c r="F24" i="23" s="1"/>
  <c r="F31" i="23"/>
  <c r="E33" i="23" s="1"/>
  <c r="F33" i="23" s="1"/>
  <c r="F35" i="23" s="1"/>
  <c r="E41" i="23"/>
  <c r="E52" i="23"/>
  <c r="F52" i="23" s="1"/>
  <c r="F39" i="23"/>
  <c r="F42" i="23"/>
  <c r="E73" i="23"/>
  <c r="F73" i="23" s="1"/>
  <c r="F176" i="18"/>
  <c r="F163" i="18"/>
  <c r="F170" i="18"/>
  <c r="F177" i="18"/>
  <c r="F164" i="18"/>
  <c r="F276" i="13"/>
  <c r="F79" i="23"/>
  <c r="E66" i="23"/>
  <c r="F66" i="23" s="1"/>
  <c r="F68" i="23" s="1"/>
  <c r="E11" i="23"/>
  <c r="F11" i="23" s="1"/>
  <c r="F13" i="23" s="1"/>
  <c r="F131" i="13"/>
  <c r="E130" i="15" s="1"/>
  <c r="F130" i="15" s="1"/>
  <c r="F132" i="15" s="1"/>
  <c r="E265" i="13"/>
  <c r="C268" i="13"/>
  <c r="F268" i="13" s="1"/>
  <c r="C267" i="13"/>
  <c r="F267" i="13" s="1"/>
  <c r="F266" i="13"/>
  <c r="F265" i="13"/>
  <c r="F262" i="13"/>
  <c r="C252" i="13"/>
  <c r="C255" i="13"/>
  <c r="F255" i="13" s="1"/>
  <c r="C256" i="13"/>
  <c r="F256" i="13" s="1"/>
  <c r="C254" i="13"/>
  <c r="F254" i="13" s="1"/>
  <c r="F253" i="13"/>
  <c r="C246" i="13"/>
  <c r="F246" i="13" s="1"/>
  <c r="F245" i="13"/>
  <c r="C244" i="13"/>
  <c r="F244" i="13" s="1"/>
  <c r="F243" i="13"/>
  <c r="H89" i="13"/>
  <c r="I90" i="13" s="1"/>
  <c r="F41" i="23" l="1"/>
  <c r="E45" i="23" s="1"/>
  <c r="F45" i="23" s="1"/>
  <c r="F47" i="23" s="1"/>
  <c r="E54" i="23"/>
  <c r="F54" i="23" s="1"/>
  <c r="F57" i="23" s="1"/>
  <c r="I89" i="13"/>
  <c r="J89" i="13" s="1"/>
  <c r="G259" i="17" l="1"/>
  <c r="G258" i="17"/>
  <c r="G260" i="17" s="1"/>
  <c r="C312" i="13"/>
  <c r="F312" i="13" s="1"/>
  <c r="F311" i="13"/>
  <c r="C310" i="13"/>
  <c r="F310" i="13" s="1"/>
  <c r="F309" i="13"/>
  <c r="F302" i="13"/>
  <c r="C301" i="13"/>
  <c r="F301" i="13" s="1"/>
  <c r="C300" i="13"/>
  <c r="F300" i="13" s="1"/>
  <c r="F299" i="13"/>
  <c r="F131" i="18" l="1"/>
  <c r="F130" i="18"/>
  <c r="F129" i="18"/>
  <c r="F128" i="18"/>
  <c r="F133" i="18" l="1"/>
  <c r="I112" i="18"/>
  <c r="F121" i="18" l="1"/>
  <c r="F120" i="18"/>
  <c r="F118" i="18"/>
  <c r="F117" i="18"/>
  <c r="F116" i="18"/>
  <c r="F115" i="18"/>
  <c r="F114" i="18"/>
  <c r="F113" i="18"/>
  <c r="F112" i="18"/>
  <c r="F105" i="18"/>
  <c r="F104" i="18"/>
  <c r="F97" i="18"/>
  <c r="F96" i="18"/>
  <c r="C95" i="18"/>
  <c r="F95" i="18" s="1"/>
  <c r="F89" i="18"/>
  <c r="F88" i="18"/>
  <c r="F87" i="18"/>
  <c r="A82" i="18"/>
  <c r="F81" i="18"/>
  <c r="F80" i="18"/>
  <c r="A80" i="18"/>
  <c r="A81" i="18" s="1"/>
  <c r="F79" i="18"/>
  <c r="F72" i="18"/>
  <c r="F71" i="18"/>
  <c r="F70" i="18"/>
  <c r="F69" i="18"/>
  <c r="F68" i="18"/>
  <c r="F67" i="18"/>
  <c r="F66" i="18"/>
  <c r="F65" i="18"/>
  <c r="F64" i="18"/>
  <c r="F63" i="18"/>
  <c r="A57" i="18"/>
  <c r="C56" i="18"/>
  <c r="F56" i="18" s="1"/>
  <c r="F55" i="18"/>
  <c r="A55" i="18"/>
  <c r="A56" i="18" s="1"/>
  <c r="F54" i="18"/>
  <c r="F48" i="18"/>
  <c r="C47" i="18"/>
  <c r="F47" i="18" s="1"/>
  <c r="F46" i="18"/>
  <c r="A46" i="18"/>
  <c r="A47" i="18" s="1"/>
  <c r="A48" i="18" s="1"/>
  <c r="A49" i="18" s="1"/>
  <c r="F45" i="18"/>
  <c r="F40" i="18"/>
  <c r="F39" i="18"/>
  <c r="F38" i="18"/>
  <c r="F32" i="18"/>
  <c r="F31" i="18"/>
  <c r="F30" i="18"/>
  <c r="F24" i="18"/>
  <c r="F23" i="18"/>
  <c r="F22" i="18"/>
  <c r="F16" i="18"/>
  <c r="F15" i="18"/>
  <c r="F14" i="18"/>
  <c r="F8" i="18"/>
  <c r="F7" i="18"/>
  <c r="H6" i="18"/>
  <c r="F6" i="18"/>
  <c r="F5" i="18"/>
  <c r="H4" i="18"/>
  <c r="F4" i="18" s="1"/>
  <c r="F121" i="15"/>
  <c r="F120" i="15"/>
  <c r="C291" i="13"/>
  <c r="F291" i="13" s="1"/>
  <c r="C290" i="13"/>
  <c r="F290" i="13" s="1"/>
  <c r="F289" i="13"/>
  <c r="F285" i="13"/>
  <c r="E234" i="13"/>
  <c r="F234" i="13" s="1"/>
  <c r="C236" i="13"/>
  <c r="F236" i="13" s="1"/>
  <c r="C235" i="13"/>
  <c r="F235" i="13" s="1"/>
  <c r="F227" i="13"/>
  <c r="F219" i="13"/>
  <c r="F210" i="13"/>
  <c r="I209" i="13"/>
  <c r="F211" i="13"/>
  <c r="F201" i="13"/>
  <c r="F200" i="13"/>
  <c r="C199" i="13"/>
  <c r="F199" i="13" s="1"/>
  <c r="F197" i="13"/>
  <c r="F196" i="13"/>
  <c r="F195" i="13"/>
  <c r="E106" i="18" l="1"/>
  <c r="F106" i="18" s="1"/>
  <c r="F18" i="18"/>
  <c r="F10" i="18"/>
  <c r="F26" i="18"/>
  <c r="E82" i="18"/>
  <c r="F82" i="18" s="1"/>
  <c r="F83" i="18" s="1"/>
  <c r="F34" i="18"/>
  <c r="E90" i="18"/>
  <c r="F90" i="18" s="1"/>
  <c r="F91" i="18" s="1"/>
  <c r="F41" i="18"/>
  <c r="F73" i="18"/>
  <c r="F75" i="18" s="1"/>
  <c r="E49" i="18"/>
  <c r="F49" i="18" s="1"/>
  <c r="F50" i="18" s="1"/>
  <c r="E288" i="13"/>
  <c r="F288" i="13" s="1"/>
  <c r="E98" i="18"/>
  <c r="F98" i="18" s="1"/>
  <c r="F100" i="18" s="1"/>
  <c r="F108" i="18"/>
  <c r="E57" i="18"/>
  <c r="F57" i="18" s="1"/>
  <c r="F58" i="18" s="1"/>
  <c r="E159" i="18" l="1"/>
  <c r="F159" i="18" s="1"/>
  <c r="F190" i="13" l="1"/>
  <c r="G445" i="17"/>
  <c r="G444" i="17"/>
  <c r="D443" i="17"/>
  <c r="D441" i="17"/>
  <c r="D437" i="17"/>
  <c r="A436" i="17"/>
  <c r="A437" i="17" s="1"/>
  <c r="A438" i="17" s="1"/>
  <c r="A439" i="17" s="1"/>
  <c r="A440" i="17" s="1"/>
  <c r="A441" i="17" s="1"/>
  <c r="A442" i="17" s="1"/>
  <c r="A443" i="17" s="1"/>
  <c r="A444" i="17" s="1"/>
  <c r="A445" i="17" s="1"/>
  <c r="G432" i="17"/>
  <c r="G431" i="17"/>
  <c r="G430" i="17"/>
  <c r="D429" i="17"/>
  <c r="D428" i="17"/>
  <c r="G427" i="17"/>
  <c r="A427" i="17"/>
  <c r="A428" i="17" s="1"/>
  <c r="A429" i="17" s="1"/>
  <c r="A430" i="17" s="1"/>
  <c r="G423" i="17"/>
  <c r="G422" i="17"/>
  <c r="G421" i="17"/>
  <c r="G420" i="17"/>
  <c r="F419" i="17"/>
  <c r="G419" i="17" s="1"/>
  <c r="G418" i="17"/>
  <c r="G417" i="17"/>
  <c r="G416" i="17"/>
  <c r="A416" i="17"/>
  <c r="A417" i="17" s="1"/>
  <c r="A418" i="17" s="1"/>
  <c r="A419" i="17" s="1"/>
  <c r="A420" i="17" s="1"/>
  <c r="A421" i="17" s="1"/>
  <c r="A422" i="17" s="1"/>
  <c r="A423" i="17" s="1"/>
  <c r="G415" i="17"/>
  <c r="A415" i="17"/>
  <c r="G412" i="17"/>
  <c r="G411" i="17"/>
  <c r="G410" i="17"/>
  <c r="G409" i="17"/>
  <c r="F408" i="17"/>
  <c r="G408" i="17" s="1"/>
  <c r="G407" i="17"/>
  <c r="G406" i="17"/>
  <c r="G405" i="17"/>
  <c r="A405" i="17"/>
  <c r="A406" i="17" s="1"/>
  <c r="A407" i="17" s="1"/>
  <c r="A408" i="17" s="1"/>
  <c r="A409" i="17" s="1"/>
  <c r="A410" i="17" s="1"/>
  <c r="A411" i="17" s="1"/>
  <c r="A412" i="17" s="1"/>
  <c r="G404" i="17"/>
  <c r="A404" i="17"/>
  <c r="A401" i="17"/>
  <c r="G398" i="17"/>
  <c r="G397" i="17"/>
  <c r="G396" i="17"/>
  <c r="G394" i="17"/>
  <c r="G393" i="17"/>
  <c r="A393" i="17"/>
  <c r="A394" i="17" s="1"/>
  <c r="A395" i="17" s="1"/>
  <c r="A396" i="17" s="1"/>
  <c r="A397" i="17" s="1"/>
  <c r="A398" i="17" s="1"/>
  <c r="G389" i="17"/>
  <c r="G388" i="17"/>
  <c r="G387" i="17"/>
  <c r="G386" i="17"/>
  <c r="G385" i="17"/>
  <c r="G383" i="17"/>
  <c r="A383" i="17"/>
  <c r="A384" i="17" s="1"/>
  <c r="A385" i="17" s="1"/>
  <c r="A386" i="17" s="1"/>
  <c r="A387" i="17" s="1"/>
  <c r="A388" i="17" s="1"/>
  <c r="A389" i="17" s="1"/>
  <c r="G380" i="17"/>
  <c r="D379" i="17"/>
  <c r="G379" i="17" s="1"/>
  <c r="A378" i="17"/>
  <c r="A379" i="17" s="1"/>
  <c r="A380" i="17" s="1"/>
  <c r="G375" i="17"/>
  <c r="G374" i="17"/>
  <c r="A373" i="17"/>
  <c r="A374" i="17" s="1"/>
  <c r="A375" i="17" s="1"/>
  <c r="G369" i="17"/>
  <c r="G368" i="17"/>
  <c r="D367" i="17"/>
  <c r="G366" i="17"/>
  <c r="A366" i="17"/>
  <c r="A367" i="17" s="1"/>
  <c r="A368" i="17" s="1"/>
  <c r="A369" i="17" s="1"/>
  <c r="A370" i="17" s="1"/>
  <c r="G362" i="17"/>
  <c r="G361" i="17"/>
  <c r="G360" i="17"/>
  <c r="G358" i="17"/>
  <c r="A358" i="17"/>
  <c r="A359" i="17" s="1"/>
  <c r="A360" i="17" s="1"/>
  <c r="A361" i="17" s="1"/>
  <c r="A362" i="17" s="1"/>
  <c r="A363" i="17" s="1"/>
  <c r="G355" i="17"/>
  <c r="G356" i="17" s="1"/>
  <c r="G352" i="17"/>
  <c r="D351" i="17"/>
  <c r="G351" i="17" s="1"/>
  <c r="A349" i="17"/>
  <c r="A350" i="17" s="1"/>
  <c r="A351" i="17" s="1"/>
  <c r="A352" i="17" s="1"/>
  <c r="G346" i="17"/>
  <c r="G345" i="17"/>
  <c r="G344" i="17"/>
  <c r="G343" i="17"/>
  <c r="D342" i="17"/>
  <c r="G341" i="17"/>
  <c r="G340" i="17"/>
  <c r="G339" i="17"/>
  <c r="A339" i="17"/>
  <c r="A340" i="17" s="1"/>
  <c r="A341" i="17" s="1"/>
  <c r="A342" i="17" s="1"/>
  <c r="A343" i="17" s="1"/>
  <c r="A344" i="17" s="1"/>
  <c r="A345" i="17" s="1"/>
  <c r="A346" i="17" s="1"/>
  <c r="D335" i="17"/>
  <c r="G335" i="17" s="1"/>
  <c r="D334" i="17"/>
  <c r="G334" i="17" s="1"/>
  <c r="G332" i="17"/>
  <c r="D331" i="17"/>
  <c r="G331" i="17" s="1"/>
  <c r="A330" i="17"/>
  <c r="A331" i="17" s="1"/>
  <c r="A332" i="17" s="1"/>
  <c r="A333" i="17" s="1"/>
  <c r="A334" i="17" s="1"/>
  <c r="A335" i="17" s="1"/>
  <c r="A336" i="17" s="1"/>
  <c r="G326" i="17"/>
  <c r="D324" i="17"/>
  <c r="G323" i="17"/>
  <c r="D321" i="17"/>
  <c r="D320" i="17"/>
  <c r="A320" i="17"/>
  <c r="A321" i="17" s="1"/>
  <c r="A322" i="17" s="1"/>
  <c r="A323" i="17" s="1"/>
  <c r="A324" i="17" s="1"/>
  <c r="A325" i="17" s="1"/>
  <c r="A326" i="17" s="1"/>
  <c r="A327" i="17" s="1"/>
  <c r="G316" i="17"/>
  <c r="D315" i="17"/>
  <c r="G315" i="17" s="1"/>
  <c r="G313" i="17"/>
  <c r="D312" i="17"/>
  <c r="G312" i="17" s="1"/>
  <c r="A310" i="17"/>
  <c r="A311" i="17" s="1"/>
  <c r="A312" i="17" s="1"/>
  <c r="A313" i="17" s="1"/>
  <c r="A314" i="17" s="1"/>
  <c r="A315" i="17" s="1"/>
  <c r="A316" i="17" s="1"/>
  <c r="A317" i="17" s="1"/>
  <c r="F304" i="17"/>
  <c r="D304" i="17"/>
  <c r="D302" i="17"/>
  <c r="D305" i="17" s="1"/>
  <c r="G305" i="17" s="1"/>
  <c r="A302" i="17"/>
  <c r="A303" i="17" s="1"/>
  <c r="A304" i="17" s="1"/>
  <c r="A305" i="17" s="1"/>
  <c r="A306" i="17" s="1"/>
  <c r="A307" i="17" s="1"/>
  <c r="G297" i="17"/>
  <c r="G295" i="17"/>
  <c r="D294" i="17"/>
  <c r="G294" i="17" s="1"/>
  <c r="D293" i="17"/>
  <c r="G292" i="17"/>
  <c r="G291" i="17"/>
  <c r="A291" i="17"/>
  <c r="A292" i="17" s="1"/>
  <c r="A293" i="17" s="1"/>
  <c r="A294" i="17" s="1"/>
  <c r="A295" i="17" s="1"/>
  <c r="A296" i="17" s="1"/>
  <c r="A297" i="17" s="1"/>
  <c r="A298" i="17" s="1"/>
  <c r="G290" i="17"/>
  <c r="A290" i="17"/>
  <c r="G286" i="17"/>
  <c r="G285" i="17"/>
  <c r="G284" i="17"/>
  <c r="G283" i="17"/>
  <c r="F282" i="17"/>
  <c r="G282" i="17" s="1"/>
  <c r="G281" i="17"/>
  <c r="G280" i="17"/>
  <c r="G279" i="17"/>
  <c r="G278" i="17"/>
  <c r="G277" i="17"/>
  <c r="A277" i="17"/>
  <c r="A278" i="17" s="1"/>
  <c r="A279" i="17" s="1"/>
  <c r="A280" i="17" s="1"/>
  <c r="A281" i="17" s="1"/>
  <c r="A282" i="17" s="1"/>
  <c r="A283" i="17" s="1"/>
  <c r="A284" i="17" s="1"/>
  <c r="A285" i="17" s="1"/>
  <c r="A286" i="17" s="1"/>
  <c r="D273" i="17"/>
  <c r="G273" i="17" s="1"/>
  <c r="G272" i="17"/>
  <c r="G269" i="17"/>
  <c r="G267" i="17"/>
  <c r="G266" i="17"/>
  <c r="G263" i="17"/>
  <c r="G262" i="17"/>
  <c r="G255" i="17"/>
  <c r="G254" i="17"/>
  <c r="G256" i="17" s="1"/>
  <c r="G251" i="17"/>
  <c r="G250" i="17"/>
  <c r="G247" i="17"/>
  <c r="G246" i="17"/>
  <c r="G248" i="17" s="1"/>
  <c r="G243" i="17"/>
  <c r="G242" i="17"/>
  <c r="A242" i="17"/>
  <c r="A243" i="17" s="1"/>
  <c r="D239" i="17"/>
  <c r="G239" i="17" s="1"/>
  <c r="G238" i="17"/>
  <c r="G237" i="17"/>
  <c r="A237" i="17"/>
  <c r="A238" i="17" s="1"/>
  <c r="A239" i="17" s="1"/>
  <c r="D233" i="17"/>
  <c r="D234" i="17" s="1"/>
  <c r="G232" i="17"/>
  <c r="A232" i="17"/>
  <c r="A233" i="17" s="1"/>
  <c r="A234" i="17" s="1"/>
  <c r="G229" i="17"/>
  <c r="G228" i="17"/>
  <c r="G227" i="17"/>
  <c r="G226" i="17"/>
  <c r="G225" i="17"/>
  <c r="A225" i="17"/>
  <c r="A226" i="17" s="1"/>
  <c r="A227" i="17" s="1"/>
  <c r="A228" i="17" s="1"/>
  <c r="A229" i="17" s="1"/>
  <c r="G222" i="17"/>
  <c r="G221" i="17"/>
  <c r="G220" i="17"/>
  <c r="G219" i="17"/>
  <c r="G223" i="17" s="1"/>
  <c r="A219" i="17"/>
  <c r="A220" i="17" s="1"/>
  <c r="A221" i="17" s="1"/>
  <c r="A222" i="17" s="1"/>
  <c r="G216" i="17"/>
  <c r="G215" i="17"/>
  <c r="G214" i="17"/>
  <c r="D213" i="17"/>
  <c r="A213" i="17"/>
  <c r="A214" i="17" s="1"/>
  <c r="A215" i="17" s="1"/>
  <c r="A216" i="17" s="1"/>
  <c r="G210" i="17"/>
  <c r="G209" i="17"/>
  <c r="D208" i="17"/>
  <c r="A208" i="17"/>
  <c r="A209" i="17" s="1"/>
  <c r="A210" i="17" s="1"/>
  <c r="G204" i="17"/>
  <c r="D203" i="17"/>
  <c r="A203" i="17"/>
  <c r="A204" i="17" s="1"/>
  <c r="G200" i="17"/>
  <c r="G199" i="17"/>
  <c r="E198" i="17"/>
  <c r="D198" i="17"/>
  <c r="D197" i="17"/>
  <c r="D195" i="17"/>
  <c r="D196" i="17" s="1"/>
  <c r="G196" i="17" s="1"/>
  <c r="A195" i="17"/>
  <c r="A196" i="17" s="1"/>
  <c r="A197" i="17" s="1"/>
  <c r="A198" i="17" s="1"/>
  <c r="A199" i="17" s="1"/>
  <c r="A200" i="17" s="1"/>
  <c r="G194" i="17"/>
  <c r="A194" i="17"/>
  <c r="D188" i="17"/>
  <c r="D190" i="17" s="1"/>
  <c r="G190" i="17" s="1"/>
  <c r="D186" i="17"/>
  <c r="D187" i="17" s="1"/>
  <c r="G187" i="17" s="1"/>
  <c r="A186" i="17"/>
  <c r="A187" i="17" s="1"/>
  <c r="A188" i="17" s="1"/>
  <c r="A189" i="17" s="1"/>
  <c r="A190" i="17" s="1"/>
  <c r="A191" i="17" s="1"/>
  <c r="D181" i="17"/>
  <c r="D182" i="17" s="1"/>
  <c r="G182" i="17" s="1"/>
  <c r="D180" i="17"/>
  <c r="G179" i="17"/>
  <c r="A179" i="17"/>
  <c r="A180" i="17" s="1"/>
  <c r="A181" i="17" s="1"/>
  <c r="A182" i="17" s="1"/>
  <c r="A183" i="17" s="1"/>
  <c r="G174" i="17"/>
  <c r="D173" i="17"/>
  <c r="G172" i="17"/>
  <c r="A172" i="17"/>
  <c r="A173" i="17" s="1"/>
  <c r="A174" i="17" s="1"/>
  <c r="A175" i="17" s="1"/>
  <c r="A176" i="17" s="1"/>
  <c r="D168" i="17"/>
  <c r="G167" i="17"/>
  <c r="G166" i="17"/>
  <c r="G165" i="17"/>
  <c r="G163" i="17"/>
  <c r="A162" i="17"/>
  <c r="A163" i="17" s="1"/>
  <c r="A164" i="17" s="1"/>
  <c r="A165" i="17" s="1"/>
  <c r="A166" i="17" s="1"/>
  <c r="A167" i="17" s="1"/>
  <c r="A168" i="17" s="1"/>
  <c r="A169" i="17" s="1"/>
  <c r="G159" i="17"/>
  <c r="G158" i="17"/>
  <c r="A157" i="17"/>
  <c r="A158" i="17" s="1"/>
  <c r="A159" i="17" s="1"/>
  <c r="G153" i="17"/>
  <c r="G152" i="17"/>
  <c r="G151" i="17"/>
  <c r="G150" i="17"/>
  <c r="A149" i="17"/>
  <c r="A150" i="17" s="1"/>
  <c r="A151" i="17" s="1"/>
  <c r="A152" i="17" s="1"/>
  <c r="A153" i="17" s="1"/>
  <c r="G146" i="17"/>
  <c r="G145" i="17"/>
  <c r="A143" i="17"/>
  <c r="A144" i="17" s="1"/>
  <c r="A145" i="17" s="1"/>
  <c r="A146" i="17" s="1"/>
  <c r="G140" i="17"/>
  <c r="F302" i="17" s="1"/>
  <c r="G139" i="17"/>
  <c r="G135" i="17"/>
  <c r="G134" i="17"/>
  <c r="G133" i="17"/>
  <c r="G132" i="17"/>
  <c r="A130" i="17"/>
  <c r="A131" i="17" s="1"/>
  <c r="A132" i="17" s="1"/>
  <c r="A133" i="17" s="1"/>
  <c r="A134" i="17" s="1"/>
  <c r="A135" i="17" s="1"/>
  <c r="G124" i="17"/>
  <c r="G123" i="17"/>
  <c r="G122" i="17"/>
  <c r="A120" i="17"/>
  <c r="A121" i="17" s="1"/>
  <c r="A122" i="17" s="1"/>
  <c r="A123" i="17" s="1"/>
  <c r="A124" i="17" s="1"/>
  <c r="G116" i="17"/>
  <c r="G115" i="17"/>
  <c r="G114" i="17"/>
  <c r="A113" i="17"/>
  <c r="A114" i="17" s="1"/>
  <c r="A115" i="17" s="1"/>
  <c r="A116" i="17" s="1"/>
  <c r="A112" i="17"/>
  <c r="G105" i="17"/>
  <c r="G104" i="17"/>
  <c r="F106" i="17" s="1"/>
  <c r="G106" i="17" s="1"/>
  <c r="A104" i="17"/>
  <c r="A105" i="17" s="1"/>
  <c r="A106" i="17" s="1"/>
  <c r="G101" i="17"/>
  <c r="G99" i="17"/>
  <c r="G98" i="17"/>
  <c r="A98" i="17"/>
  <c r="A99" i="17" s="1"/>
  <c r="A100" i="17" s="1"/>
  <c r="A101" i="17" s="1"/>
  <c r="G93" i="17"/>
  <c r="F94" i="17" s="1"/>
  <c r="G94" i="17" s="1"/>
  <c r="G95" i="17" s="1"/>
  <c r="C93" i="17"/>
  <c r="A92" i="17"/>
  <c r="A93" i="17" s="1"/>
  <c r="A94" i="17" s="1"/>
  <c r="A95" i="17" s="1"/>
  <c r="E86" i="17"/>
  <c r="A84" i="17"/>
  <c r="A85" i="17" s="1"/>
  <c r="A86" i="17" s="1"/>
  <c r="A87" i="17" s="1"/>
  <c r="A88" i="17" s="1"/>
  <c r="A89" i="17" s="1"/>
  <c r="G77" i="17"/>
  <c r="E77" i="17"/>
  <c r="G76" i="17"/>
  <c r="A76" i="17"/>
  <c r="A77" i="17" s="1"/>
  <c r="A78" i="17" s="1"/>
  <c r="A79" i="17" s="1"/>
  <c r="A80" i="17" s="1"/>
  <c r="A75" i="17"/>
  <c r="G70" i="17"/>
  <c r="A70" i="17"/>
  <c r="G69" i="17"/>
  <c r="A69" i="17"/>
  <c r="G68" i="17"/>
  <c r="G65" i="17"/>
  <c r="G64" i="17"/>
  <c r="D61" i="17"/>
  <c r="G61" i="17" s="1"/>
  <c r="G60" i="17"/>
  <c r="G57" i="17"/>
  <c r="D57" i="17"/>
  <c r="G56" i="17"/>
  <c r="G58" i="17" s="1"/>
  <c r="D52" i="17"/>
  <c r="G48" i="17"/>
  <c r="D48" i="17"/>
  <c r="D45" i="17"/>
  <c r="G45" i="17" s="1"/>
  <c r="G44" i="17"/>
  <c r="D40" i="17"/>
  <c r="G40" i="17" s="1"/>
  <c r="A37" i="17"/>
  <c r="D36" i="17"/>
  <c r="D37" i="17" s="1"/>
  <c r="G37" i="17" s="1"/>
  <c r="G32" i="17"/>
  <c r="G31" i="17"/>
  <c r="G30" i="17"/>
  <c r="G29" i="17"/>
  <c r="G28" i="17"/>
  <c r="G27" i="17"/>
  <c r="G26" i="17"/>
  <c r="G25" i="17"/>
  <c r="E25" i="17"/>
  <c r="A25" i="17"/>
  <c r="A26" i="17" s="1"/>
  <c r="A27" i="17" s="1"/>
  <c r="A28" i="17" s="1"/>
  <c r="A29" i="17" s="1"/>
  <c r="A30" i="17" s="1"/>
  <c r="A31" i="17" s="1"/>
  <c r="A32" i="17" s="1"/>
  <c r="G24" i="17"/>
  <c r="G20" i="17"/>
  <c r="G19" i="17"/>
  <c r="G18" i="17"/>
  <c r="G17" i="17"/>
  <c r="G16" i="17"/>
  <c r="G15" i="17"/>
  <c r="E15" i="17"/>
  <c r="D14" i="17"/>
  <c r="G14" i="17" s="1"/>
  <c r="A14" i="17"/>
  <c r="A15" i="17" s="1"/>
  <c r="A16" i="17" s="1"/>
  <c r="A17" i="17" s="1"/>
  <c r="A18" i="17" s="1"/>
  <c r="A19" i="17" s="1"/>
  <c r="A20" i="17" s="1"/>
  <c r="G9" i="17"/>
  <c r="G8" i="17"/>
  <c r="F10" i="17" s="1"/>
  <c r="G10" i="17" s="1"/>
  <c r="E8" i="17"/>
  <c r="A8" i="17"/>
  <c r="A9" i="17" s="1"/>
  <c r="A10" i="17" s="1"/>
  <c r="A7" i="17"/>
  <c r="F113" i="15"/>
  <c r="F112" i="15"/>
  <c r="F111" i="15"/>
  <c r="F103" i="15"/>
  <c r="F102" i="15"/>
  <c r="F101" i="15"/>
  <c r="F94" i="15"/>
  <c r="F93" i="15"/>
  <c r="F92" i="15"/>
  <c r="F85" i="15"/>
  <c r="F84" i="15"/>
  <c r="F83" i="15"/>
  <c r="F76" i="15"/>
  <c r="F74" i="15"/>
  <c r="F73" i="15"/>
  <c r="F65" i="15"/>
  <c r="F64" i="15"/>
  <c r="F63" i="15"/>
  <c r="F61" i="15"/>
  <c r="F54" i="15"/>
  <c r="F53" i="15"/>
  <c r="F52" i="15"/>
  <c r="F51" i="15"/>
  <c r="F44" i="15"/>
  <c r="F43" i="15"/>
  <c r="F42" i="15"/>
  <c r="F41" i="15"/>
  <c r="F23" i="15"/>
  <c r="F22" i="15"/>
  <c r="C21" i="15"/>
  <c r="F15" i="15"/>
  <c r="F14" i="15"/>
  <c r="F13" i="15"/>
  <c r="F5" i="15"/>
  <c r="F327" i="14"/>
  <c r="E326" i="14"/>
  <c r="F326" i="14" s="1"/>
  <c r="F325" i="14"/>
  <c r="F324" i="14"/>
  <c r="F322" i="14"/>
  <c r="F316" i="14"/>
  <c r="F315" i="14"/>
  <c r="F314" i="14"/>
  <c r="C305" i="14"/>
  <c r="F305" i="14" s="1"/>
  <c r="C304" i="14"/>
  <c r="F304" i="14" s="1"/>
  <c r="F303" i="14"/>
  <c r="F302" i="14"/>
  <c r="F299" i="14"/>
  <c r="F294" i="14"/>
  <c r="E293" i="14"/>
  <c r="F293" i="14" s="1"/>
  <c r="F292" i="14"/>
  <c r="F286" i="14"/>
  <c r="C286" i="14"/>
  <c r="F285" i="14"/>
  <c r="C284" i="14"/>
  <c r="F284" i="14" s="1"/>
  <c r="F283" i="14"/>
  <c r="C276" i="14"/>
  <c r="F276" i="14" s="1"/>
  <c r="F275" i="14"/>
  <c r="C274" i="14"/>
  <c r="F274" i="14" s="1"/>
  <c r="F273" i="14"/>
  <c r="E272" i="14"/>
  <c r="E282" i="14" s="1"/>
  <c r="F282" i="14" s="1"/>
  <c r="F288" i="14" s="1"/>
  <c r="F264" i="14"/>
  <c r="F263" i="14"/>
  <c r="E262" i="14"/>
  <c r="F262" i="14" s="1"/>
  <c r="F260" i="14"/>
  <c r="F254" i="14"/>
  <c r="F253" i="14"/>
  <c r="F252" i="14"/>
  <c r="F251" i="14"/>
  <c r="C243" i="14"/>
  <c r="F243" i="14" s="1"/>
  <c r="F242" i="14"/>
  <c r="C241" i="14"/>
  <c r="F241" i="14" s="1"/>
  <c r="F240" i="14"/>
  <c r="F233" i="14"/>
  <c r="C232" i="14"/>
  <c r="F232" i="14" s="1"/>
  <c r="C231" i="14"/>
  <c r="F231" i="14" s="1"/>
  <c r="F230" i="14"/>
  <c r="F222" i="14"/>
  <c r="C221" i="14"/>
  <c r="F221" i="14" s="1"/>
  <c r="F220" i="14"/>
  <c r="C220" i="14"/>
  <c r="F219" i="14"/>
  <c r="E218" i="14"/>
  <c r="E229" i="14" s="1"/>
  <c r="F212" i="14"/>
  <c r="C212" i="14"/>
  <c r="C211" i="14"/>
  <c r="F211" i="14" s="1"/>
  <c r="F210" i="14"/>
  <c r="F203" i="14"/>
  <c r="F193" i="14"/>
  <c r="F186" i="14"/>
  <c r="F185" i="14"/>
  <c r="F182" i="14"/>
  <c r="C174" i="14"/>
  <c r="F174" i="14" s="1"/>
  <c r="C173" i="14"/>
  <c r="F173" i="14" s="1"/>
  <c r="F172" i="14"/>
  <c r="F171" i="14"/>
  <c r="F168" i="14"/>
  <c r="F162" i="14"/>
  <c r="F161" i="14"/>
  <c r="F160" i="14"/>
  <c r="F159" i="14"/>
  <c r="F151" i="14"/>
  <c r="C150" i="14"/>
  <c r="F150" i="14" s="1"/>
  <c r="C149" i="14"/>
  <c r="F149" i="14" s="1"/>
  <c r="F148" i="14"/>
  <c r="C140" i="14"/>
  <c r="F140" i="14" s="1"/>
  <c r="C139" i="14"/>
  <c r="F139" i="14" s="1"/>
  <c r="F138" i="14"/>
  <c r="F137" i="14"/>
  <c r="E136" i="14"/>
  <c r="E170" i="14" s="1"/>
  <c r="E135" i="14"/>
  <c r="E169" i="14" s="1"/>
  <c r="F169" i="14" s="1"/>
  <c r="F134" i="14"/>
  <c r="F128" i="14"/>
  <c r="F127" i="14"/>
  <c r="F126" i="14"/>
  <c r="F125" i="14"/>
  <c r="F117" i="14"/>
  <c r="C116" i="14"/>
  <c r="F116" i="14" s="1"/>
  <c r="C115" i="14"/>
  <c r="F115" i="14" s="1"/>
  <c r="F114" i="14"/>
  <c r="F105" i="14"/>
  <c r="F104" i="14"/>
  <c r="F103" i="14"/>
  <c r="F102" i="14"/>
  <c r="C94" i="14"/>
  <c r="F94" i="14" s="1"/>
  <c r="F93" i="14"/>
  <c r="F92" i="14"/>
  <c r="C92" i="14"/>
  <c r="F91" i="14"/>
  <c r="F84" i="14"/>
  <c r="C83" i="14"/>
  <c r="F83" i="14" s="1"/>
  <c r="C82" i="14"/>
  <c r="F82" i="14" s="1"/>
  <c r="F81" i="14"/>
  <c r="F73" i="14"/>
  <c r="F72" i="14"/>
  <c r="C72" i="14"/>
  <c r="C71" i="14"/>
  <c r="F71" i="14" s="1"/>
  <c r="F70" i="14"/>
  <c r="F62" i="14"/>
  <c r="C61" i="14"/>
  <c r="F61" i="14" s="1"/>
  <c r="C60" i="14"/>
  <c r="F60" i="14" s="1"/>
  <c r="F59" i="14"/>
  <c r="C51" i="14"/>
  <c r="F51" i="14" s="1"/>
  <c r="C50" i="14"/>
  <c r="F50" i="14" s="1"/>
  <c r="F49" i="14"/>
  <c r="F48" i="14"/>
  <c r="F53" i="14" s="1"/>
  <c r="E48" i="14"/>
  <c r="F42" i="14"/>
  <c r="C41" i="14"/>
  <c r="F41" i="14" s="1"/>
  <c r="C40" i="14"/>
  <c r="F40" i="14" s="1"/>
  <c r="F39" i="14"/>
  <c r="F31" i="14"/>
  <c r="C30" i="14"/>
  <c r="F30" i="14" s="1"/>
  <c r="C29" i="14"/>
  <c r="F29" i="14" s="1"/>
  <c r="F28" i="14"/>
  <c r="E27" i="14"/>
  <c r="F27" i="14" s="1"/>
  <c r="F33" i="14" s="1"/>
  <c r="F21" i="14"/>
  <c r="F20" i="14"/>
  <c r="C20" i="14"/>
  <c r="F19" i="14"/>
  <c r="C19" i="14"/>
  <c r="F18" i="14"/>
  <c r="F11" i="14"/>
  <c r="C10" i="14"/>
  <c r="F10" i="14" s="1"/>
  <c r="C9" i="14"/>
  <c r="F9" i="14" s="1"/>
  <c r="F8" i="14"/>
  <c r="E7" i="14"/>
  <c r="E17" i="14" s="1"/>
  <c r="F17" i="14" s="1"/>
  <c r="F23" i="14" s="1"/>
  <c r="F182" i="13"/>
  <c r="F181" i="13"/>
  <c r="F173" i="13"/>
  <c r="F172" i="13"/>
  <c r="F169" i="13"/>
  <c r="F163" i="13"/>
  <c r="C162" i="13"/>
  <c r="F162" i="13" s="1"/>
  <c r="C161" i="13"/>
  <c r="F161" i="13" s="1"/>
  <c r="F160" i="13"/>
  <c r="F151" i="13"/>
  <c r="F150" i="13"/>
  <c r="E149" i="13"/>
  <c r="F149" i="13" s="1"/>
  <c r="F148" i="13"/>
  <c r="F147" i="13"/>
  <c r="F146" i="13"/>
  <c r="C139" i="13"/>
  <c r="F139" i="13" s="1"/>
  <c r="C138" i="13"/>
  <c r="F138" i="13" s="1"/>
  <c r="F137" i="13"/>
  <c r="E122" i="13"/>
  <c r="F122" i="13" s="1"/>
  <c r="F121" i="13"/>
  <c r="E120" i="13"/>
  <c r="F120" i="13" s="1"/>
  <c r="F118" i="13"/>
  <c r="F110" i="13"/>
  <c r="F108" i="13"/>
  <c r="F100" i="13"/>
  <c r="F98" i="13"/>
  <c r="F88" i="13"/>
  <c r="F78" i="13"/>
  <c r="F68" i="13"/>
  <c r="E61" i="13"/>
  <c r="F61" i="13" s="1"/>
  <c r="E60" i="13"/>
  <c r="E70" i="13" s="1"/>
  <c r="F58" i="13"/>
  <c r="F51" i="13"/>
  <c r="F50" i="13"/>
  <c r="F48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E19" i="13"/>
  <c r="F19" i="13" s="1"/>
  <c r="E18" i="13"/>
  <c r="F18" i="13" s="1"/>
  <c r="F17" i="13"/>
  <c r="E16" i="13"/>
  <c r="F16" i="13" s="1"/>
  <c r="F15" i="13"/>
  <c r="F14" i="13"/>
  <c r="F13" i="13"/>
  <c r="F7" i="13"/>
  <c r="F6" i="13"/>
  <c r="G66" i="17" l="1"/>
  <c r="G62" i="17"/>
  <c r="G240" i="17"/>
  <c r="F274" i="17"/>
  <c r="G274" i="17" s="1"/>
  <c r="G275" i="17" s="1"/>
  <c r="G304" i="17"/>
  <c r="F7" i="14"/>
  <c r="F13" i="14" s="1"/>
  <c r="G244" i="17"/>
  <c r="G252" i="17"/>
  <c r="E38" i="14"/>
  <c r="E58" i="14" s="1"/>
  <c r="E300" i="14"/>
  <c r="E313" i="14" s="1"/>
  <c r="F313" i="14" s="1"/>
  <c r="D306" i="17"/>
  <c r="G306" i="17" s="1"/>
  <c r="D322" i="17"/>
  <c r="G322" i="17" s="1"/>
  <c r="F136" i="14"/>
  <c r="G21" i="17"/>
  <c r="G33" i="17"/>
  <c r="G264" i="17"/>
  <c r="G413" i="17"/>
  <c r="G424" i="17"/>
  <c r="G71" i="17"/>
  <c r="F234" i="17" s="1"/>
  <c r="G234" i="17" s="1"/>
  <c r="F135" i="14"/>
  <c r="F142" i="14" s="1"/>
  <c r="F295" i="14"/>
  <c r="G11" i="17"/>
  <c r="G181" i="17"/>
  <c r="D189" i="17"/>
  <c r="G189" i="17" s="1"/>
  <c r="G230" i="17"/>
  <c r="F443" i="17" s="1"/>
  <c r="G443" i="17" s="1"/>
  <c r="F268" i="17"/>
  <c r="G268" i="17" s="1"/>
  <c r="G270" i="17" s="1"/>
  <c r="G287" i="17"/>
  <c r="F41" i="13"/>
  <c r="E42" i="13" s="1"/>
  <c r="F42" i="13" s="1"/>
  <c r="G302" i="17"/>
  <c r="G46" i="17"/>
  <c r="A432" i="17"/>
  <c r="A431" i="17"/>
  <c r="D53" i="17"/>
  <c r="G53" i="17" s="1"/>
  <c r="F186" i="17"/>
  <c r="G186" i="17" s="1"/>
  <c r="D303" i="17"/>
  <c r="G303" i="17" s="1"/>
  <c r="D325" i="17"/>
  <c r="G325" i="17" s="1"/>
  <c r="F429" i="17"/>
  <c r="G429" i="17" s="1"/>
  <c r="G36" i="17"/>
  <c r="G38" i="17" s="1"/>
  <c r="D49" i="17"/>
  <c r="G49" i="17" s="1"/>
  <c r="G50" i="17" s="1"/>
  <c r="G52" i="17"/>
  <c r="G54" i="17" s="1"/>
  <c r="F78" i="17"/>
  <c r="G78" i="17" s="1"/>
  <c r="G79" i="17" s="1"/>
  <c r="G80" i="17" s="1"/>
  <c r="G81" i="17" s="1"/>
  <c r="F100" i="17"/>
  <c r="G100" i="17" s="1"/>
  <c r="G102" i="17" s="1"/>
  <c r="F438" i="17" s="1"/>
  <c r="G438" i="17" s="1"/>
  <c r="F195" i="17"/>
  <c r="G195" i="17" s="1"/>
  <c r="D41" i="17"/>
  <c r="G41" i="17" s="1"/>
  <c r="G42" i="17" s="1"/>
  <c r="F86" i="17" s="1"/>
  <c r="G86" i="17" s="1"/>
  <c r="E69" i="14"/>
  <c r="F58" i="14"/>
  <c r="F64" i="14" s="1"/>
  <c r="E192" i="14"/>
  <c r="F170" i="14"/>
  <c r="E239" i="14"/>
  <c r="F229" i="14"/>
  <c r="F235" i="14" s="1"/>
  <c r="F176" i="14"/>
  <c r="E183" i="14" s="1"/>
  <c r="F183" i="14" s="1"/>
  <c r="F188" i="14" s="1"/>
  <c r="F38" i="14"/>
  <c r="F44" i="14" s="1"/>
  <c r="F218" i="14"/>
  <c r="F224" i="14" s="1"/>
  <c r="F272" i="14"/>
  <c r="F278" i="14" s="1"/>
  <c r="F300" i="14"/>
  <c r="F307" i="14" s="1"/>
  <c r="F70" i="13"/>
  <c r="E80" i="13"/>
  <c r="F21" i="13"/>
  <c r="E23" i="13" s="1"/>
  <c r="F23" i="13" s="1"/>
  <c r="F25" i="13" s="1"/>
  <c r="E166" i="18" s="1"/>
  <c r="F152" i="13"/>
  <c r="E153" i="13" s="1"/>
  <c r="F153" i="13" s="1"/>
  <c r="F154" i="13" s="1"/>
  <c r="F60" i="13"/>
  <c r="G146" i="13"/>
  <c r="E8" i="13"/>
  <c r="F8" i="13" s="1"/>
  <c r="F9" i="13" s="1"/>
  <c r="E71" i="13"/>
  <c r="G308" i="17" l="1"/>
  <c r="E75" i="15"/>
  <c r="F75" i="15" s="1"/>
  <c r="E162" i="18"/>
  <c r="F166" i="18"/>
  <c r="E173" i="18"/>
  <c r="F173" i="18" s="1"/>
  <c r="E160" i="18"/>
  <c r="F160" i="18" s="1"/>
  <c r="E137" i="18"/>
  <c r="F137" i="18" s="1"/>
  <c r="E158" i="18"/>
  <c r="F158" i="18" s="1"/>
  <c r="E49" i="13"/>
  <c r="E59" i="13" s="1"/>
  <c r="E12" i="15"/>
  <c r="E119" i="18"/>
  <c r="F119" i="18" s="1"/>
  <c r="F122" i="18" s="1"/>
  <c r="F124" i="18" s="1"/>
  <c r="F44" i="13"/>
  <c r="E82" i="13" s="1"/>
  <c r="F311" i="17"/>
  <c r="G310" i="17"/>
  <c r="F342" i="17"/>
  <c r="G342" i="17" s="1"/>
  <c r="G347" i="17" s="1"/>
  <c r="F131" i="17"/>
  <c r="G131" i="17" s="1"/>
  <c r="G136" i="17" s="1"/>
  <c r="F293" i="17" s="1"/>
  <c r="G293" i="17" s="1"/>
  <c r="F121" i="17"/>
  <c r="G121" i="17" s="1"/>
  <c r="G125" i="17" s="1"/>
  <c r="F113" i="17"/>
  <c r="G113" i="17" s="1"/>
  <c r="G117" i="17" s="1"/>
  <c r="F296" i="17"/>
  <c r="G296" i="17" s="1"/>
  <c r="F175" i="17"/>
  <c r="G175" i="17" s="1"/>
  <c r="F157" i="17"/>
  <c r="G157" i="17" s="1"/>
  <c r="G160" i="17" s="1"/>
  <c r="F149" i="17"/>
  <c r="G149" i="17" s="1"/>
  <c r="G154" i="17" s="1"/>
  <c r="F144" i="17"/>
  <c r="G144" i="17" s="1"/>
  <c r="G147" i="17" s="1"/>
  <c r="F307" i="17"/>
  <c r="G307" i="17" s="1"/>
  <c r="F233" i="17"/>
  <c r="G233" i="17" s="1"/>
  <c r="G235" i="17" s="1"/>
  <c r="F436" i="17"/>
  <c r="G436" i="17" s="1"/>
  <c r="F85" i="17"/>
  <c r="G85" i="17" s="1"/>
  <c r="E80" i="14"/>
  <c r="F69" i="14"/>
  <c r="F75" i="14" s="1"/>
  <c r="F192" i="14"/>
  <c r="F195" i="14" s="1"/>
  <c r="E250" i="14"/>
  <c r="F250" i="14" s="1"/>
  <c r="F256" i="14" s="1"/>
  <c r="F239" i="14"/>
  <c r="F245" i="14" s="1"/>
  <c r="E90" i="13"/>
  <c r="F90" i="13" s="1"/>
  <c r="F80" i="13"/>
  <c r="E72" i="13"/>
  <c r="F72" i="13" s="1"/>
  <c r="E52" i="13"/>
  <c r="E81" i="13"/>
  <c r="F71" i="13"/>
  <c r="E101" i="13" l="1"/>
  <c r="E169" i="18"/>
  <c r="F169" i="18" s="1"/>
  <c r="F162" i="18"/>
  <c r="F49" i="13"/>
  <c r="E148" i="18"/>
  <c r="F148" i="18" s="1"/>
  <c r="E40" i="15"/>
  <c r="F12" i="15"/>
  <c r="F298" i="17"/>
  <c r="G298" i="17" s="1"/>
  <c r="G299" i="17" s="1"/>
  <c r="G311" i="17"/>
  <c r="F320" i="17"/>
  <c r="F168" i="17"/>
  <c r="G168" i="17" s="1"/>
  <c r="F350" i="17"/>
  <c r="G350" i="17" s="1"/>
  <c r="G353" i="17" s="1"/>
  <c r="F203" i="17"/>
  <c r="G203" i="17" s="1"/>
  <c r="G205" i="17" s="1"/>
  <c r="F373" i="17"/>
  <c r="G127" i="17"/>
  <c r="F188" i="17"/>
  <c r="G188" i="17" s="1"/>
  <c r="F173" i="17"/>
  <c r="G173" i="17" s="1"/>
  <c r="F164" i="17"/>
  <c r="G164" i="17" s="1"/>
  <c r="F428" i="17"/>
  <c r="G428" i="17" s="1"/>
  <c r="G434" i="17" s="1"/>
  <c r="F208" i="17"/>
  <c r="G208" i="17" s="1"/>
  <c r="G211" i="17" s="1"/>
  <c r="F440" i="17" s="1"/>
  <c r="G440" i="17" s="1"/>
  <c r="F213" i="17"/>
  <c r="G213" i="17" s="1"/>
  <c r="G217" i="17" s="1"/>
  <c r="F441" i="17" s="1"/>
  <c r="G441" i="17" s="1"/>
  <c r="F180" i="17"/>
  <c r="G180" i="17" s="1"/>
  <c r="F198" i="17"/>
  <c r="G198" i="17" s="1"/>
  <c r="F87" i="17"/>
  <c r="G87" i="17" s="1"/>
  <c r="G88" i="17" s="1"/>
  <c r="G90" i="17" s="1"/>
  <c r="F384" i="17"/>
  <c r="F197" i="17"/>
  <c r="G197" i="17" s="1"/>
  <c r="F359" i="17"/>
  <c r="E90" i="14"/>
  <c r="F80" i="14"/>
  <c r="F86" i="14" s="1"/>
  <c r="E111" i="13"/>
  <c r="F111" i="13" s="1"/>
  <c r="F101" i="13"/>
  <c r="F81" i="13"/>
  <c r="E91" i="13"/>
  <c r="F59" i="13"/>
  <c r="E69" i="13"/>
  <c r="F52" i="13"/>
  <c r="E62" i="13"/>
  <c r="F62" i="13" s="1"/>
  <c r="E92" i="13"/>
  <c r="F92" i="13" s="1"/>
  <c r="F82" i="13"/>
  <c r="F54" i="13"/>
  <c r="F91" i="13" l="1"/>
  <c r="E165" i="18"/>
  <c r="G201" i="17"/>
  <c r="F439" i="17" s="1"/>
  <c r="G439" i="17" s="1"/>
  <c r="F40" i="15"/>
  <c r="E62" i="15"/>
  <c r="F367" i="17"/>
  <c r="G367" i="17" s="1"/>
  <c r="G359" i="17"/>
  <c r="F183" i="17"/>
  <c r="G183" i="17" s="1"/>
  <c r="G184" i="17" s="1"/>
  <c r="F191" i="17"/>
  <c r="G191" i="17" s="1"/>
  <c r="G192" i="17"/>
  <c r="F437" i="17" s="1"/>
  <c r="G437" i="17" s="1"/>
  <c r="G384" i="17"/>
  <c r="G390" i="17" s="1"/>
  <c r="F395" i="17"/>
  <c r="G395" i="17" s="1"/>
  <c r="G399" i="17" s="1"/>
  <c r="F176" i="17"/>
  <c r="G176" i="17" s="1"/>
  <c r="G177" i="17" s="1"/>
  <c r="F169" i="17"/>
  <c r="G169" i="17" s="1"/>
  <c r="G170" i="17" s="1"/>
  <c r="F442" i="17" s="1"/>
  <c r="G442" i="17" s="1"/>
  <c r="F378" i="17"/>
  <c r="G378" i="17" s="1"/>
  <c r="G381" i="17" s="1"/>
  <c r="G373" i="17"/>
  <c r="G376" i="17" s="1"/>
  <c r="G320" i="17"/>
  <c r="F321" i="17"/>
  <c r="E101" i="14"/>
  <c r="F90" i="14"/>
  <c r="F96" i="14" s="1"/>
  <c r="F64" i="13"/>
  <c r="F69" i="13"/>
  <c r="F74" i="13" s="1"/>
  <c r="F314" i="17" l="1"/>
  <c r="G314" i="17"/>
  <c r="F317" i="17" s="1"/>
  <c r="G317" i="17" s="1"/>
  <c r="G318" i="17" s="1"/>
  <c r="F324" i="17"/>
  <c r="F165" i="18"/>
  <c r="E172" i="18"/>
  <c r="F172" i="18" s="1"/>
  <c r="F401" i="17"/>
  <c r="G401" i="17" s="1"/>
  <c r="G402" i="17" s="1"/>
  <c r="F62" i="15"/>
  <c r="E110" i="15"/>
  <c r="F110" i="15" s="1"/>
  <c r="E233" i="13"/>
  <c r="E242" i="13" s="1"/>
  <c r="E318" i="13" s="1"/>
  <c r="E159" i="13"/>
  <c r="F159" i="13" s="1"/>
  <c r="F165" i="13" s="1"/>
  <c r="E298" i="13"/>
  <c r="E202" i="14"/>
  <c r="E189" i="13"/>
  <c r="F189" i="13" s="1"/>
  <c r="F192" i="13" s="1"/>
  <c r="F330" i="17"/>
  <c r="G330" i="17" s="1"/>
  <c r="G321" i="17"/>
  <c r="F370" i="17"/>
  <c r="G370" i="17" s="1"/>
  <c r="G371" i="17" s="1"/>
  <c r="F363" i="17"/>
  <c r="G363" i="17" s="1"/>
  <c r="G364" i="17" s="1"/>
  <c r="G447" i="17"/>
  <c r="F101" i="14"/>
  <c r="F107" i="14" s="1"/>
  <c r="E113" i="14"/>
  <c r="F113" i="14" s="1"/>
  <c r="F119" i="14" s="1"/>
  <c r="E124" i="14"/>
  <c r="F79" i="13"/>
  <c r="F84" i="13" s="1"/>
  <c r="F198" i="13" s="1"/>
  <c r="E202" i="13" s="1"/>
  <c r="E89" i="13"/>
  <c r="E170" i="13"/>
  <c r="E136" i="13"/>
  <c r="F136" i="13" s="1"/>
  <c r="F141" i="13" s="1"/>
  <c r="F202" i="13" l="1"/>
  <c r="F204" i="13" s="1"/>
  <c r="H200" i="13"/>
  <c r="E327" i="13"/>
  <c r="F327" i="13" s="1"/>
  <c r="F332" i="13" s="1"/>
  <c r="F318" i="13"/>
  <c r="F323" i="13" s="1"/>
  <c r="G324" i="17"/>
  <c r="F333" i="17"/>
  <c r="G333" i="17" s="1"/>
  <c r="F336" i="17" s="1"/>
  <c r="G336" i="17" s="1"/>
  <c r="G337" i="17" s="1"/>
  <c r="F179" i="18"/>
  <c r="F242" i="13"/>
  <c r="F248" i="13" s="1"/>
  <c r="E252" i="13"/>
  <c r="F233" i="13"/>
  <c r="F238" i="13" s="1"/>
  <c r="F298" i="13"/>
  <c r="F304" i="13" s="1"/>
  <c r="E308" i="13"/>
  <c r="F202" i="14"/>
  <c r="F205" i="14" s="1"/>
  <c r="E209" i="14"/>
  <c r="F327" i="17"/>
  <c r="G327" i="17" s="1"/>
  <c r="G328" i="17" s="1"/>
  <c r="F124" i="14"/>
  <c r="F130" i="14" s="1"/>
  <c r="E147" i="14"/>
  <c r="E99" i="13"/>
  <c r="F89" i="13"/>
  <c r="F94" i="13" s="1"/>
  <c r="E278" i="13" s="1"/>
  <c r="F278" i="13" s="1"/>
  <c r="F170" i="13"/>
  <c r="E180" i="13"/>
  <c r="F180" i="13" s="1"/>
  <c r="F184" i="13" s="1"/>
  <c r="F308" i="13" l="1"/>
  <c r="F314" i="13" s="1"/>
  <c r="E339" i="13"/>
  <c r="F252" i="13"/>
  <c r="F258" i="13" s="1"/>
  <c r="E264" i="13"/>
  <c r="F264" i="13" s="1"/>
  <c r="E209" i="13"/>
  <c r="E287" i="13"/>
  <c r="F287" i="13" s="1"/>
  <c r="F209" i="14"/>
  <c r="F214" i="14" s="1"/>
  <c r="E261" i="14"/>
  <c r="E158" i="14"/>
  <c r="F158" i="14" s="1"/>
  <c r="F164" i="14" s="1"/>
  <c r="F147" i="14"/>
  <c r="F153" i="14" s="1"/>
  <c r="E184" i="14" s="1"/>
  <c r="F184" i="14" s="1"/>
  <c r="E109" i="13"/>
  <c r="F99" i="13"/>
  <c r="F339" i="13" l="1"/>
  <c r="E342" i="13" s="1"/>
  <c r="F342" i="13" s="1"/>
  <c r="F343" i="13" s="1"/>
  <c r="E350" i="13"/>
  <c r="F209" i="13"/>
  <c r="F213" i="13" s="1"/>
  <c r="E138" i="18"/>
  <c r="F261" i="14"/>
  <c r="F266" i="14" s="1"/>
  <c r="E301" i="14"/>
  <c r="E119" i="13"/>
  <c r="F119" i="13" s="1"/>
  <c r="F124" i="13" s="1"/>
  <c r="F109" i="13"/>
  <c r="E102" i="13"/>
  <c r="F102" i="13" s="1"/>
  <c r="F104" i="13" s="1"/>
  <c r="E361" i="13" l="1"/>
  <c r="F350" i="13"/>
  <c r="E353" i="13" s="1"/>
  <c r="F353" i="13" s="1"/>
  <c r="F354" i="13" s="1"/>
  <c r="F138" i="18"/>
  <c r="E149" i="18"/>
  <c r="F149" i="18" s="1"/>
  <c r="E4" i="15"/>
  <c r="E50" i="15" s="1"/>
  <c r="E263" i="13"/>
  <c r="F263" i="13" s="1"/>
  <c r="F270" i="13" s="1"/>
  <c r="E171" i="13"/>
  <c r="F171" i="13" s="1"/>
  <c r="F175" i="13" s="1"/>
  <c r="E286" i="13"/>
  <c r="F286" i="13" s="1"/>
  <c r="F293" i="13" s="1"/>
  <c r="F301" i="14"/>
  <c r="E312" i="14"/>
  <c r="E112" i="13"/>
  <c r="F112" i="13" s="1"/>
  <c r="E372" i="13" l="1"/>
  <c r="E467" i="13" s="1"/>
  <c r="F361" i="13"/>
  <c r="E364" i="13" s="1"/>
  <c r="F364" i="13" s="1"/>
  <c r="F365" i="13" s="1"/>
  <c r="E150" i="18"/>
  <c r="F150" i="18" s="1"/>
  <c r="F4" i="15"/>
  <c r="F7" i="15" s="1"/>
  <c r="E72" i="15"/>
  <c r="E60" i="15"/>
  <c r="F60" i="15" s="1"/>
  <c r="F67" i="15" s="1"/>
  <c r="F50" i="15"/>
  <c r="F56" i="15" s="1"/>
  <c r="F114" i="13"/>
  <c r="F312" i="14"/>
  <c r="F318" i="14" s="1"/>
  <c r="E323" i="14"/>
  <c r="F323" i="14" s="1"/>
  <c r="F329" i="14" s="1"/>
  <c r="E444" i="13" l="1"/>
  <c r="F467" i="13"/>
  <c r="E470" i="13" s="1"/>
  <c r="F470" i="13" s="1"/>
  <c r="F471" i="13" s="1"/>
  <c r="F372" i="13"/>
  <c r="E375" i="13" s="1"/>
  <c r="F375" i="13" s="1"/>
  <c r="F376" i="13" s="1"/>
  <c r="E382" i="13"/>
  <c r="E11" i="15"/>
  <c r="E277" i="13"/>
  <c r="F277" i="13" s="1"/>
  <c r="F280" i="13" s="1"/>
  <c r="E139" i="18" s="1"/>
  <c r="F139" i="18" s="1"/>
  <c r="E218" i="13"/>
  <c r="F218" i="13" s="1"/>
  <c r="F221" i="13" s="1"/>
  <c r="E82" i="15"/>
  <c r="F72" i="15"/>
  <c r="F78" i="15" s="1"/>
  <c r="E454" i="13" l="1"/>
  <c r="F454" i="13" s="1"/>
  <c r="F459" i="13" s="1"/>
  <c r="F444" i="13"/>
  <c r="F449" i="13" s="1"/>
  <c r="F382" i="13"/>
  <c r="E385" i="13" s="1"/>
  <c r="F385" i="13" s="1"/>
  <c r="F386" i="13" s="1"/>
  <c r="E393" i="13"/>
  <c r="E226" i="13"/>
  <c r="F226" i="13" s="1"/>
  <c r="F229" i="13" s="1"/>
  <c r="F11" i="15"/>
  <c r="F17" i="15" s="1"/>
  <c r="E21" i="15"/>
  <c r="E29" i="15" s="1"/>
  <c r="F29" i="15" s="1"/>
  <c r="F33" i="15" s="1"/>
  <c r="E119" i="15"/>
  <c r="F119" i="15" s="1"/>
  <c r="F123" i="15" s="1"/>
  <c r="F82" i="15"/>
  <c r="F87" i="15" s="1"/>
  <c r="E404" i="13" l="1"/>
  <c r="F393" i="13"/>
  <c r="E396" i="13" s="1"/>
  <c r="F396" i="13" s="1"/>
  <c r="F397" i="13" s="1"/>
  <c r="E39" i="15"/>
  <c r="F21" i="15"/>
  <c r="F25" i="15" s="1"/>
  <c r="E415" i="13" l="1"/>
  <c r="F404" i="13"/>
  <c r="E407" i="13" s="1"/>
  <c r="F407" i="13" s="1"/>
  <c r="F408" i="13" s="1"/>
  <c r="E91" i="15"/>
  <c r="F39" i="15"/>
  <c r="F46" i="15" s="1"/>
  <c r="E140" i="18" s="1"/>
  <c r="F140" i="18" s="1"/>
  <c r="F144" i="18" s="1"/>
  <c r="F415" i="13" l="1"/>
  <c r="E418" i="13" s="1"/>
  <c r="F418" i="13" s="1"/>
  <c r="F419" i="13" s="1"/>
  <c r="E426" i="13"/>
  <c r="E100" i="15"/>
  <c r="F91" i="15"/>
  <c r="F96" i="15" s="1"/>
  <c r="F426" i="13" l="1"/>
  <c r="E429" i="13" s="1"/>
  <c r="F429" i="13" s="1"/>
  <c r="F430" i="13" s="1"/>
  <c r="E436" i="13"/>
  <c r="F436" i="13" s="1"/>
  <c r="E109" i="15"/>
  <c r="F109" i="15" s="1"/>
  <c r="F115" i="15" s="1"/>
  <c r="F100" i="15"/>
  <c r="F105" i="15" s="1"/>
  <c r="E439" i="13" l="1"/>
  <c r="F439" i="13" s="1"/>
  <c r="F440" i="13" s="1"/>
  <c r="E151" i="18"/>
  <c r="F151" i="18" s="1"/>
  <c r="F154" i="18" s="1"/>
  <c r="F43" i="38" l="1"/>
  <c r="F46" i="38"/>
  <c r="F42" i="38"/>
  <c r="F45" i="38"/>
  <c r="F48" i="38"/>
  <c r="F41" i="38"/>
  <c r="F47" i="38" s="1"/>
  <c r="F49" i="38" l="1"/>
  <c r="F51" i="38" s="1"/>
  <c r="F53" i="38" s="1"/>
  <c r="F7" i="38" l="1"/>
</calcChain>
</file>

<file path=xl/sharedStrings.xml><?xml version="1.0" encoding="utf-8"?>
<sst xmlns="http://schemas.openxmlformats.org/spreadsheetml/2006/main" count="3390" uniqueCount="854">
  <si>
    <t>Descripcion</t>
  </si>
  <si>
    <t>Unidad</t>
  </si>
  <si>
    <t>Cantidad</t>
  </si>
  <si>
    <t>P.U</t>
  </si>
  <si>
    <t>Rendimiento</t>
  </si>
  <si>
    <t>M2</t>
  </si>
  <si>
    <t>M3</t>
  </si>
  <si>
    <t>Mano de Obra</t>
  </si>
  <si>
    <t>Costo/M3</t>
  </si>
  <si>
    <t>Desperdicio</t>
  </si>
  <si>
    <t>Capataz</t>
  </si>
  <si>
    <t>GASTOS INDIRECTOS</t>
  </si>
  <si>
    <t>Dirección Técnica</t>
  </si>
  <si>
    <t>Gastos Administrativos</t>
  </si>
  <si>
    <t>Ley 6/86</t>
  </si>
  <si>
    <t>TOTAL GENERAL</t>
  </si>
  <si>
    <t>Acero</t>
  </si>
  <si>
    <t>qq</t>
  </si>
  <si>
    <t>Ml</t>
  </si>
  <si>
    <t>No</t>
  </si>
  <si>
    <t>P.U. (RD$)</t>
  </si>
  <si>
    <t>Valor (RD$)</t>
  </si>
  <si>
    <t>SUB - TOTAL GENERAL RD$</t>
  </si>
  <si>
    <t xml:space="preserve"> </t>
  </si>
  <si>
    <t>TOTAL GASTOS INDIRECTOS</t>
  </si>
  <si>
    <t>TOTAL A CONTRATAR RD$</t>
  </si>
  <si>
    <t>M³</t>
  </si>
  <si>
    <t>M²</t>
  </si>
  <si>
    <t>LIGADO Y VACIADO CON LIGADORA</t>
  </si>
  <si>
    <t>#</t>
  </si>
  <si>
    <t>Descripción</t>
  </si>
  <si>
    <t>Valor</t>
  </si>
  <si>
    <t>a)</t>
  </si>
  <si>
    <t>Uso de Ligadora</t>
  </si>
  <si>
    <t>Dia</t>
  </si>
  <si>
    <t>b)</t>
  </si>
  <si>
    <t>Gasolina</t>
  </si>
  <si>
    <t>Gls.</t>
  </si>
  <si>
    <t>c)</t>
  </si>
  <si>
    <t>d)</t>
  </si>
  <si>
    <t>Cargadores Agregados y  agua Cementos (6 Hombres)</t>
  </si>
  <si>
    <t>e)</t>
  </si>
  <si>
    <t>Operador</t>
  </si>
  <si>
    <t>f)</t>
  </si>
  <si>
    <t>Transporte Horm. (4 Hombres)</t>
  </si>
  <si>
    <t>g)</t>
  </si>
  <si>
    <t>Emparejadores y vaciadores  de Concreto ( 4 Hombres)</t>
  </si>
  <si>
    <t>Total</t>
  </si>
  <si>
    <t xml:space="preserve">Rendimiento </t>
  </si>
  <si>
    <t>M3/Dia</t>
  </si>
  <si>
    <t>LIGADO Y VACIADO A MANO:</t>
  </si>
  <si>
    <t>Carretilla</t>
  </si>
  <si>
    <t>u</t>
  </si>
  <si>
    <t xml:space="preserve">Palas </t>
  </si>
  <si>
    <t>Tanques de agua</t>
  </si>
  <si>
    <t>Cubetas para agua (5 de uso).</t>
  </si>
  <si>
    <t xml:space="preserve">Llenador de agregados </t>
  </si>
  <si>
    <t xml:space="preserve">Maleteros o acarreadores de agregados </t>
  </si>
  <si>
    <t>h)</t>
  </si>
  <si>
    <t xml:space="preserve">Ligadores </t>
  </si>
  <si>
    <t>i)</t>
  </si>
  <si>
    <t xml:space="preserve">Cementero (acarreador de cemento) </t>
  </si>
  <si>
    <t>J)</t>
  </si>
  <si>
    <t>Vaciador y tendedor</t>
  </si>
  <si>
    <t>k)</t>
  </si>
  <si>
    <t xml:space="preserve">Aguatero </t>
  </si>
  <si>
    <t>l)</t>
  </si>
  <si>
    <t>Cubo para cargar hormigon (5meses de uso)</t>
  </si>
  <si>
    <t xml:space="preserve">Total </t>
  </si>
  <si>
    <t>Costo / M3</t>
  </si>
  <si>
    <t>HORMIGÓN  240 Kg/Cm2. Con ligadora</t>
  </si>
  <si>
    <t>Agua cargada con tanque</t>
  </si>
  <si>
    <t>Cemento Gris</t>
  </si>
  <si>
    <t>Fda.</t>
  </si>
  <si>
    <t>Arena Lavada</t>
  </si>
  <si>
    <t>M3.</t>
  </si>
  <si>
    <t>Grava Clasificada</t>
  </si>
  <si>
    <t>Ligado y Vaciado con ligadora</t>
  </si>
  <si>
    <t>HORMIGÓN  210 Kg/Cm2. Con ligadora</t>
  </si>
  <si>
    <t>HORMIGÓN  180 Kg/Cm2. Con ligadora</t>
  </si>
  <si>
    <t>HORMIGÓN  210 Kg/Cm2. Ligado a mano</t>
  </si>
  <si>
    <t>Ligado y Vaciado a mano</t>
  </si>
  <si>
    <t>HORMIGÓN  180 Kg/Cm2. Ligado a mano</t>
  </si>
  <si>
    <t>Ligado y Vaciado A MANO</t>
  </si>
  <si>
    <t>Mortero 1:4</t>
  </si>
  <si>
    <t>Agua cargada en tanques</t>
  </si>
  <si>
    <t xml:space="preserve">Cemento Pórtland </t>
  </si>
  <si>
    <t>Arena Itabo</t>
  </si>
  <si>
    <t>Ligado y Vaciado a Mano</t>
  </si>
  <si>
    <t>MORTERO 1:3</t>
  </si>
  <si>
    <t>Arena Pañete CON CAL</t>
  </si>
  <si>
    <t>Hormigón  210 Kg/Cm2 con ligadora</t>
  </si>
  <si>
    <t>qqs</t>
  </si>
  <si>
    <t>Alambre #18</t>
  </si>
  <si>
    <t>Lbs</t>
  </si>
  <si>
    <t xml:space="preserve">Mano de Obra Acero </t>
  </si>
  <si>
    <t>Encofrado y Desencofrado todo costo (incluye altura)</t>
  </si>
  <si>
    <t xml:space="preserve">Alambre No. 18  </t>
  </si>
  <si>
    <t>Lbs.</t>
  </si>
  <si>
    <t>Mano de Obra Coloc. Acero</t>
  </si>
  <si>
    <t>Costo / M2</t>
  </si>
  <si>
    <t>Costo / ML</t>
  </si>
  <si>
    <t>Hormigón180 Kg/Cm2 a ligado a  Mano</t>
  </si>
  <si>
    <t>Preparacion Terreno</t>
  </si>
  <si>
    <t>Regla (1 de 1"x4"x2.62`/10 usos)</t>
  </si>
  <si>
    <t>Pie²</t>
  </si>
  <si>
    <t>Mano de Obra Frotado</t>
  </si>
  <si>
    <t>P.A</t>
  </si>
  <si>
    <t>Día</t>
  </si>
  <si>
    <t>HORMIGON CICLOPEO</t>
  </si>
  <si>
    <t xml:space="preserve">Arena </t>
  </si>
  <si>
    <t>Base de Piedras Grandes</t>
  </si>
  <si>
    <t xml:space="preserve">Ligado y Vaciado </t>
  </si>
  <si>
    <t>Hormigón de 180 Kg/Cm2 con ligadora</t>
  </si>
  <si>
    <t>Baden de H.A</t>
  </si>
  <si>
    <t xml:space="preserve">Acopio de Piedras </t>
  </si>
  <si>
    <t>Cargío de Piedras</t>
  </si>
  <si>
    <t>Acarreo de Piedras</t>
  </si>
  <si>
    <t xml:space="preserve">Madera </t>
  </si>
  <si>
    <t>CABEZALES DE H.A.  E  = 0.20</t>
  </si>
  <si>
    <t xml:space="preserve">ACERA </t>
  </si>
  <si>
    <t>Hormigón180 Kg/Cm2 con ligadora</t>
  </si>
  <si>
    <t>CONTEN</t>
  </si>
  <si>
    <t xml:space="preserve">Encache de Piedra esp = 0.20 </t>
  </si>
  <si>
    <t>Plantilla y Guardera</t>
  </si>
  <si>
    <t>Transporte de Materiales y Equipos</t>
  </si>
  <si>
    <t>Uds</t>
  </si>
  <si>
    <t>Imprevistos</t>
  </si>
  <si>
    <t>DIRECCION DE OBRAS PUBLICAS MUNICIPALES</t>
  </si>
  <si>
    <t>Suministro de Grama bermuda</t>
  </si>
  <si>
    <t>Ud</t>
  </si>
  <si>
    <t>Siembra de grama</t>
  </si>
  <si>
    <t>No.</t>
  </si>
  <si>
    <t>DESCRIPCION</t>
  </si>
  <si>
    <t>FACTOR</t>
  </si>
  <si>
    <t>CANTIDAD</t>
  </si>
  <si>
    <t>UNIDAD</t>
  </si>
  <si>
    <t>PRECIO +ITBIS</t>
  </si>
  <si>
    <t>VALOR</t>
  </si>
  <si>
    <t>TRABAJOS PRELIMINARES:</t>
  </si>
  <si>
    <t>Limpieza y/o Acondicionamiento del terreno (incluye bote)</t>
  </si>
  <si>
    <t>1,940.67 M2</t>
  </si>
  <si>
    <t>Brigada:</t>
  </si>
  <si>
    <t>Peón   ( 6 H/D X 5</t>
  </si>
  <si>
    <t>H/Día</t>
  </si>
  <si>
    <t>Herramientas</t>
  </si>
  <si>
    <t>COSTO/M2</t>
  </si>
  <si>
    <t xml:space="preserve">Construcción de Verja Perimetral a base de zinc cal. 34 y madera 2"x3" y 1"x4" (incluye Confección de puerta de Acceso (10"x7') </t>
  </si>
  <si>
    <t>Palo 2x3" x10 ( 10 p3/4 usos)</t>
  </si>
  <si>
    <t>p2</t>
  </si>
  <si>
    <t>Enlate 1x4"x 12 ( 70 x1x4/12 4 usos)</t>
  </si>
  <si>
    <t>Plancha de zinc c/34</t>
  </si>
  <si>
    <t>ud</t>
  </si>
  <si>
    <t>Clavo de dulce</t>
  </si>
  <si>
    <t>lib</t>
  </si>
  <si>
    <t>Clavo p/ zinc.</t>
  </si>
  <si>
    <t>Bisagras y porta candao</t>
  </si>
  <si>
    <t>p.a</t>
  </si>
  <si>
    <t>Mono de obra confección de verja</t>
  </si>
  <si>
    <t>ml</t>
  </si>
  <si>
    <t xml:space="preserve">Cementos </t>
  </si>
  <si>
    <t>COSTO/ML</t>
  </si>
  <si>
    <t xml:space="preserve">Construcción de caseta p/material (3x3) </t>
  </si>
  <si>
    <t>Palo 2x3" x12 ( 10 p3/4 usos)</t>
  </si>
  <si>
    <t>Enlate 1x4"x 12 ( 4 p3/4 usos)</t>
  </si>
  <si>
    <t>Plancha de pleywoon 3/4" ( 4 usos) ( brasileño 1,600/4=400.00)</t>
  </si>
  <si>
    <t>Bisagras y porta candado</t>
  </si>
  <si>
    <t>Mono de obra confección de caseta</t>
  </si>
  <si>
    <t>m2</t>
  </si>
  <si>
    <t>piso vaciado  y relleno</t>
  </si>
  <si>
    <t>Demolición de Escalones Exist. (1.50x1.85), e=0.10 (a mano)</t>
  </si>
  <si>
    <t xml:space="preserve">Demolición de escalones a mano esp: 0.10 </t>
  </si>
  <si>
    <t>Movimiento interno de escombro a mano @&lt; 2.0 mts Esp: 1.25</t>
  </si>
  <si>
    <t>m3</t>
  </si>
  <si>
    <t>COSTO/M3</t>
  </si>
  <si>
    <t>Corte de roca a compresor, para ampliar acera (3.00X1.10X1.50)</t>
  </si>
  <si>
    <t>Corte de roca a todos costos ( Sub-contratista)</t>
  </si>
  <si>
    <t>Movimiento interno de escombro a mano @&lt; 2.0 mts</t>
  </si>
  <si>
    <t>Demolición de aceras exist. (a mano), (119.81m2X0.10)</t>
  </si>
  <si>
    <t xml:space="preserve">Demolición  de aceras a mano </t>
  </si>
  <si>
    <t>Movimiento interno de escombro a mano @&lt; 2.0 mts, Esp: 1.25</t>
  </si>
  <si>
    <t>Demolición de Platea exist. (a mano), (14.50x15.50), e=0.15</t>
  </si>
  <si>
    <t>Demolición de Bordillos exist. (a mano), (9.10x0.20), e=0.10</t>
  </si>
  <si>
    <t xml:space="preserve">Demolición  de bordillo a mano </t>
  </si>
  <si>
    <t>Demolición de acera de Piedra exist. (a mano), (16.80x1.85),e=0.20</t>
  </si>
  <si>
    <t>Demolición  de aceras  de piedra a mano  e=0.20 mt</t>
  </si>
  <si>
    <t>Demolición de contenes perimetrales existente (a mano),(111.43x0.11)</t>
  </si>
  <si>
    <t xml:space="preserve">Demolición  de contenes de 0.10 m3/ml @  a mano </t>
  </si>
  <si>
    <t xml:space="preserve">Corte y Destronque de arboles (incluye bote) </t>
  </si>
  <si>
    <t>UD</t>
  </si>
  <si>
    <t>Bote ramas y troncos</t>
  </si>
  <si>
    <t>und</t>
  </si>
  <si>
    <t>Bote de material en gral, en camión</t>
  </si>
  <si>
    <t>Llenado de camión ( 400 pesos  por bote de 6 mt3)</t>
  </si>
  <si>
    <t>Uso del camión</t>
  </si>
  <si>
    <t>viaje</t>
  </si>
  <si>
    <t>Disposición final de escombro  &lt; 5 km</t>
  </si>
  <si>
    <t>MOVIMIENTO DE TIERRA</t>
  </si>
  <si>
    <t>Excavación a mano en ( tierra)</t>
  </si>
  <si>
    <t xml:space="preserve">Peón </t>
  </si>
  <si>
    <t>%</t>
  </si>
  <si>
    <t>Sub-Total  Mano de Obra</t>
  </si>
  <si>
    <t>Excavación a mano ( roca / tierra)</t>
  </si>
  <si>
    <t>Excavación en tierra ( 70%)</t>
  </si>
  <si>
    <t>Excavación en roca ( 30%)</t>
  </si>
  <si>
    <t>Herramienta</t>
  </si>
  <si>
    <t>Relleno de tierra compensado y/o de Reposición</t>
  </si>
  <si>
    <t xml:space="preserve">Relleno de reposicion </t>
  </si>
  <si>
    <t>horras</t>
  </si>
  <si>
    <t xml:space="preserve">Relleno compactado de caliche </t>
  </si>
  <si>
    <t>Caliche</t>
  </si>
  <si>
    <t xml:space="preserve">Apisonado mecanico del relleno </t>
  </si>
  <si>
    <t>Suministro de cementos</t>
  </si>
  <si>
    <t>Cementos</t>
  </si>
  <si>
    <t>Fdas</t>
  </si>
  <si>
    <t>Desmonte del camion</t>
  </si>
  <si>
    <t>Almacenamientos y  perdidas por roturas</t>
  </si>
  <si>
    <t>HORMIGONES Y MORTEROS</t>
  </si>
  <si>
    <t>Hormigón 160 KG/cms2 ( sin ligadora) ( en camara)</t>
  </si>
  <si>
    <t>Materiales:</t>
  </si>
  <si>
    <t>Cemento gris</t>
  </si>
  <si>
    <t>Fds</t>
  </si>
  <si>
    <t>Arena gruesa itabo</t>
  </si>
  <si>
    <t>Gravilla 3/4 @ 3/8"</t>
  </si>
  <si>
    <t>Agua</t>
  </si>
  <si>
    <t>Gls</t>
  </si>
  <si>
    <t>Hormigón 180 KG/cms2 ( sin ligadora) ( 1:3:5)</t>
  </si>
  <si>
    <t>PRECIO</t>
  </si>
  <si>
    <t>Arena gruesa itabo lavada</t>
  </si>
  <si>
    <t>Hormigón 180 KG/cms2 ( con ligadora) ( 1:3:5)</t>
  </si>
  <si>
    <t>Hormigón 210 KG/cms2 ( con ligadora) ( 1:2:4)</t>
  </si>
  <si>
    <t>Ligado con trompo</t>
  </si>
  <si>
    <t>mt3</t>
  </si>
  <si>
    <t>Acero Estructural de 3/8", 1/2", 3/4" hasta 1" ( G-40 y 60)</t>
  </si>
  <si>
    <t>COSTO/qq</t>
  </si>
  <si>
    <t>MORTEROS</t>
  </si>
  <si>
    <t xml:space="preserve">Mortero 1:3   </t>
  </si>
  <si>
    <t xml:space="preserve"> Cemento</t>
  </si>
  <si>
    <t xml:space="preserve"> Arena Itabo</t>
  </si>
  <si>
    <t xml:space="preserve"> Agua</t>
  </si>
  <si>
    <t xml:space="preserve"> Mortero Bastardo 1:1:2</t>
  </si>
  <si>
    <t>Arena Fina de empañete</t>
  </si>
  <si>
    <t>Sernido de arena</t>
  </si>
  <si>
    <t xml:space="preserve">Cal </t>
  </si>
  <si>
    <t xml:space="preserve"> Mortero 1:4</t>
  </si>
  <si>
    <t xml:space="preserve"> Arena lavada</t>
  </si>
  <si>
    <t>Construcción de bordillos, aceras y  contenes perimetrales (542.034 M²), (111.43 ML):</t>
  </si>
  <si>
    <t xml:space="preserve">Construcción de Aceras Perimetral Frotada C/cenefas en hormigón 180 kg/cm², C/ligadora, e = 0.10 mts (según Diseño) </t>
  </si>
  <si>
    <t>Preparado de superficie</t>
  </si>
  <si>
    <t>Hormigón 180 KG/cms2 ( sin ligado)</t>
  </si>
  <si>
    <t>Mano de obra Vaciado y frotado</t>
  </si>
  <si>
    <t>Cemento gris  para pulido</t>
  </si>
  <si>
    <t>fund</t>
  </si>
  <si>
    <t>Color en senefas</t>
  </si>
  <si>
    <t xml:space="preserve">Mortero de terminación </t>
  </si>
  <si>
    <t>Desperdicios (5% Mat.)</t>
  </si>
  <si>
    <t xml:space="preserve">Construcción de contenes perimetrales (0.40x0.40x0.17), f'c = 180 kg/cm², C/ligadora </t>
  </si>
  <si>
    <t>Hormigón 180 KG/cms2 ( con ligadora)</t>
  </si>
  <si>
    <t>Mano de obra Vaciado y frotado ( Madera y otros)</t>
  </si>
  <si>
    <t>Telford (tipo III), a base de H.S. y material de demolición, e = 0.15 mt</t>
  </si>
  <si>
    <t>Limpieza de contenes</t>
  </si>
  <si>
    <t>Hormigón 160 KG/cms2 ( con ligadora)</t>
  </si>
  <si>
    <t>Piedra de cantos rodado</t>
  </si>
  <si>
    <t>Mano de obra colocación de piedra</t>
  </si>
  <si>
    <t>Hormigón Armado en Zapata de Bordillos (0.45x0.25), F'c = 180 Kg/cm², C/ligadora, 3 Ø 3/8" , Ø 3/8" @ 0.25</t>
  </si>
  <si>
    <t>Acero estructural</t>
  </si>
  <si>
    <t>LBs</t>
  </si>
  <si>
    <t>Hormigón 180 KG/cms2 (con ligadora)</t>
  </si>
  <si>
    <t>Mano obra acero</t>
  </si>
  <si>
    <t>ML</t>
  </si>
  <si>
    <t>Vaciado de zapata</t>
  </si>
  <si>
    <t>Desperdicio de materiales (10%)</t>
  </si>
  <si>
    <t>Muro de bloques de 0.15 mts, Ø 3/8"' @ 0.80, h = 0.40 mts S.N.P</t>
  </si>
  <si>
    <t>bloques de 0.15 mts (6")</t>
  </si>
  <si>
    <t>acero 3/8" x 20' -G40</t>
  </si>
  <si>
    <t>QQ</t>
  </si>
  <si>
    <t>alambre dulce #18</t>
  </si>
  <si>
    <t>mezcla 1:3</t>
  </si>
  <si>
    <t>Hormigón en cámara</t>
  </si>
  <si>
    <t>Colocación bloques de 0.15 mts</t>
  </si>
  <si>
    <t>Llenado de huecos A 0.40 mts</t>
  </si>
  <si>
    <t xml:space="preserve">Fraguache en columnas, vigas y losa </t>
  </si>
  <si>
    <t>Mortero Bastardo 1:1:2</t>
  </si>
  <si>
    <t>Mano de obra careteo</t>
  </si>
  <si>
    <t>Pañete en muro, de bloques de bordillos  h = 0.20 mts</t>
  </si>
  <si>
    <t>Madera enlate</t>
  </si>
  <si>
    <t>P2</t>
  </si>
  <si>
    <t xml:space="preserve">Pañete  </t>
  </si>
  <si>
    <t>Cantos en bordillos</t>
  </si>
  <si>
    <t>Natilla de cementos</t>
  </si>
  <si>
    <t>Clavos de acero</t>
  </si>
  <si>
    <t xml:space="preserve">Pintura de base blanca (1 mano) </t>
  </si>
  <si>
    <t xml:space="preserve">Piedra en superficie y masillado </t>
  </si>
  <si>
    <t>Aplicación de pintura segunda mano ( rem 20m2/gls)</t>
  </si>
  <si>
    <t>gls</t>
  </si>
  <si>
    <t>Rolo y porta rolo</t>
  </si>
  <si>
    <t>Mano de obra Aplicación de pintura</t>
  </si>
  <si>
    <t>Pintura Acrílica (dos Manos)</t>
  </si>
  <si>
    <t>Aplicación de pintura primera mano ( rem 20m2/gls)</t>
  </si>
  <si>
    <t>Preparación del terreno para Área verde ( 800.41 M²)</t>
  </si>
  <si>
    <t>Limpieza de superficie</t>
  </si>
  <si>
    <t>Excavación superficial</t>
  </si>
  <si>
    <t>Movimiento de tierra</t>
  </si>
  <si>
    <t>Suministro de tierra negra nivelada, e=0.08 mt</t>
  </si>
  <si>
    <t>Suministro de tierra negra</t>
  </si>
  <si>
    <t>Regado de tierra</t>
  </si>
  <si>
    <t>Suministro y colocación de Grama Bermuda</t>
  </si>
  <si>
    <t>COSTO/Ud</t>
  </si>
  <si>
    <t>Suministro y siembra de xica Robusta Grama</t>
  </si>
  <si>
    <t>Suministro de xica robulta grama</t>
  </si>
  <si>
    <t xml:space="preserve">Siembra de xica </t>
  </si>
  <si>
    <t>Suministro y colocación de flamboyán 12 pies</t>
  </si>
  <si>
    <t>Suministro flamboyán 12"</t>
  </si>
  <si>
    <t>Siembra de flamboyán</t>
  </si>
  <si>
    <t>Suministro y colocación de CRI-CRI 12 pies</t>
  </si>
  <si>
    <t>Suministro  CRI-CRI 12"</t>
  </si>
  <si>
    <t>Siembra de CRI CRI DE 12</t>
  </si>
  <si>
    <t>Suministro y colocación de Arbolitos chinos</t>
  </si>
  <si>
    <t>Suministro Arbolitos chinos</t>
  </si>
  <si>
    <t>Siembra de Arbolitos chinos</t>
  </si>
  <si>
    <t>Mantenimiento de dos meses</t>
  </si>
  <si>
    <t>Regado de arboles</t>
  </si>
  <si>
    <t>Sustitución de arboles</t>
  </si>
  <si>
    <t>Materiales ( mangaras y herramientas)</t>
  </si>
  <si>
    <t>Personal de apoyo</t>
  </si>
  <si>
    <t>meses</t>
  </si>
  <si>
    <t>Suministro de arena gruesa regada y nivelada  e=0.08 mt</t>
  </si>
  <si>
    <t>Suministro de arena gruesa</t>
  </si>
  <si>
    <t>Regado de arena</t>
  </si>
  <si>
    <t>herramientas</t>
  </si>
  <si>
    <t>COSTO/m3</t>
  </si>
  <si>
    <t xml:space="preserve">Confección, Instalación de baranda de hierro en todo el perímetro (a base de tubo Ø 2"'x20' H.N. planchuela de 1/2"x1/4"' y malla Electrosoldada W 20x20 h=0.90 (incluye puerta de 1.00x0.90 y pintura ), 2 Uds. h = 0.90 mt, (según diseño) </t>
  </si>
  <si>
    <t>Suministro de tubos de Ø2"</t>
  </si>
  <si>
    <t>Doblado de tubos</t>
  </si>
  <si>
    <t>Plánchela de 1/2" x 1/4"</t>
  </si>
  <si>
    <t xml:space="preserve">Acero malla D2.3a 20x20 2.4x40 m2 ( 96/85)=1.13X2=2.26 </t>
  </si>
  <si>
    <t>Soldadura</t>
  </si>
  <si>
    <t>Pintura de Oxido</t>
  </si>
  <si>
    <t>Pintura mantenimiento</t>
  </si>
  <si>
    <t>Disco de corte</t>
  </si>
  <si>
    <t>Thinner</t>
  </si>
  <si>
    <t>Mano de obra confección de baranda</t>
  </si>
  <si>
    <t>Costo/ml</t>
  </si>
  <si>
    <t>Área de gimnasia (75.24 M²)</t>
  </si>
  <si>
    <t xml:space="preserve">Construcción de Platea con mallaelectrosoldada 15x15, en hormigón 210 kg/cm², C/ligadora e = 0.12 mts </t>
  </si>
  <si>
    <t>Madera enlate de 1x4x12"  ( 4 usos)</t>
  </si>
  <si>
    <t>p3</t>
  </si>
  <si>
    <t>Clavo dulce</t>
  </si>
  <si>
    <t>Hormigón 210 KG/cms2 ( con ligadora)</t>
  </si>
  <si>
    <t>Acero malla D2.3a 15x15  Dim. 2.4x40 m2</t>
  </si>
  <si>
    <t>Cortes mecánicos</t>
  </si>
  <si>
    <t>Construcción de glorieta Octagonal (grande) en Hormigón (de 4.83 m de Apotema) construida sobre Roca/Tierra</t>
  </si>
  <si>
    <t xml:space="preserve">Zapatas de columnas (1.30x1.30x0.30) con ø3/8" @ 0.14 en A.D., f'c 210kg/cm2 Industrial (8unds) (VER DISEÑO) </t>
  </si>
  <si>
    <t>Hormigón 210 KG/cms2 (Industrial)</t>
  </si>
  <si>
    <t>Encofrado de columna</t>
  </si>
  <si>
    <t>Vaciado de columna</t>
  </si>
  <si>
    <t xml:space="preserve">Viga (0.25x0.40 m), 8 ø 1/2" + Adic. 1/2", esta. ø 3/8" @ 0.12 y 0.20 m, f'c 210 kg/cm2 industrial, 8 unid de 3.80 ml (VER DISEÑO) </t>
  </si>
  <si>
    <t>Acero estructural 8 ø 1/2" de 3.80 + 2.00 ml</t>
  </si>
  <si>
    <t>Acero estructural est. ø3/8 @ 0.20 y @ 0.12  / L= 1.95 mt (28 EST)</t>
  </si>
  <si>
    <t>Encofraco de viga</t>
  </si>
  <si>
    <t>Vaciado de viga</t>
  </si>
  <si>
    <t>Losa con vuelo inclinada (e=0.12), f'c 210 kg/cm2 industrial, ø 3/8" @ 0.25 m A. D. y Adicional ø 3/8" @ 0.25 m (VER DISEÑO)</t>
  </si>
  <si>
    <t>Acero estructural est. ø3/8 @ 0.20</t>
  </si>
  <si>
    <t>Encofrado de losa</t>
  </si>
  <si>
    <t>Vaciado de losa</t>
  </si>
  <si>
    <t>Revestimiento perrilla en columnas ( 20.35 M2)</t>
  </si>
  <si>
    <t>Revestimientos en columnas</t>
  </si>
  <si>
    <t>Arenas itabo</t>
  </si>
  <si>
    <t>Arenas fina</t>
  </si>
  <si>
    <t>Fund.</t>
  </si>
  <si>
    <t>Maderas ( reglas)</t>
  </si>
  <si>
    <t>Clavos</t>
  </si>
  <si>
    <t>Alambre dulce</t>
  </si>
  <si>
    <t>rollos</t>
  </si>
  <si>
    <t>Carpintéeles</t>
  </si>
  <si>
    <t>unds</t>
  </si>
  <si>
    <t>Techos:</t>
  </si>
  <si>
    <t xml:space="preserve">Fino techo inclinado </t>
  </si>
  <si>
    <t>Montero para fino</t>
  </si>
  <si>
    <t>Subida de material</t>
  </si>
  <si>
    <t>Mano de obra fino de techo</t>
  </si>
  <si>
    <t>Impermeabilizante con lona granular (4mm + praimer)</t>
  </si>
  <si>
    <t xml:space="preserve">Teja plana sobre losa </t>
  </si>
  <si>
    <t>Suministro de tejas</t>
  </si>
  <si>
    <t>Montero para colocacar tejas</t>
  </si>
  <si>
    <t>Subida de material de tejas</t>
  </si>
  <si>
    <t>Corte de tejas</t>
  </si>
  <si>
    <t>Mano de obra tejas</t>
  </si>
  <si>
    <t>Desperdician ( 10% )</t>
  </si>
  <si>
    <t xml:space="preserve">Caballete de Teja Plana sobre Losa </t>
  </si>
  <si>
    <t>Suministro de caballetes</t>
  </si>
  <si>
    <t>Montero para colocacal tejas</t>
  </si>
  <si>
    <t>Desperdicion ( 10% )</t>
  </si>
  <si>
    <t xml:space="preserve">Hormigón simple f'c 180 km/cm2 en torta escalones (esp = 0.08 m) </t>
  </si>
  <si>
    <t xml:space="preserve">Hormigón simple féc. 180 km/cm2  (esp = 0.08 m) </t>
  </si>
  <si>
    <t>Vaciado y frotado</t>
  </si>
  <si>
    <t>Madera enlate 1x4" ( 4 usos)</t>
  </si>
  <si>
    <t>Hormigón simple féc. 180 km/cm2 en torta de piso para colocación de granito (esp. 0.08 m) para la colocación de granito</t>
  </si>
  <si>
    <t>Suministro y colocación piso de granito fondo blanco (0.30x0.30) pulido, brillado y cristalizado en Glorieta.</t>
  </si>
  <si>
    <t xml:space="preserve">Suministro y colocación piso de granito fondo blanco (0.30x0.30) </t>
  </si>
  <si>
    <t>Mortero para colocación de piso de granito</t>
  </si>
  <si>
    <t>Cementos blanco</t>
  </si>
  <si>
    <t>fun</t>
  </si>
  <si>
    <t>Cortes de piso</t>
  </si>
  <si>
    <t>Material gastable</t>
  </si>
  <si>
    <t>Mano de obra de col. Piso</t>
  </si>
  <si>
    <t>Pulido, Brilladlo y Cristalizado de piso</t>
  </si>
  <si>
    <t xml:space="preserve">Suministro y colocación piso granito fondo blanco en huella y contrahuella en  escalones circulares a un ancho de 0.50 m y altura de 0.15 m vaciado </t>
  </si>
  <si>
    <t>Vaciado de escalón de 0.50 m  en granito</t>
  </si>
  <si>
    <t>Vaciado de contrahuella</t>
  </si>
  <si>
    <t>Rampa acceso para discapacitados, féc. 180kg/cm2, esp. 0.10 m</t>
  </si>
  <si>
    <t xml:space="preserve">Barandilla en rampa de acceso para discapacitados </t>
  </si>
  <si>
    <t>Tubo de 1"</t>
  </si>
  <si>
    <t>lid</t>
  </si>
  <si>
    <t>Postes para lámparas hierro negro 14'x4''cuatrado</t>
  </si>
  <si>
    <t>Suministro de tubos de 4x4" HN</t>
  </si>
  <si>
    <t>Placa base</t>
  </si>
  <si>
    <t>Tornillos y turcas de 3/4"</t>
  </si>
  <si>
    <t>uds</t>
  </si>
  <si>
    <t xml:space="preserve">Mano de obra confección de poste e instalación </t>
  </si>
  <si>
    <t>Costo/ud</t>
  </si>
  <si>
    <t>Base de lámparas</t>
  </si>
  <si>
    <t>Excavación en tierra</t>
  </si>
  <si>
    <t>Hormigón en base</t>
  </si>
  <si>
    <t xml:space="preserve">Encofrado </t>
  </si>
  <si>
    <t>pintura</t>
  </si>
  <si>
    <t>Terminación en pañete y cantos</t>
  </si>
  <si>
    <t>Caseta para instalaciones eléctricas (caja de breaker y foto control)    (A base de muros de blocks de 6", puerta de metal en barras cuadradas de 1/2" y malla de piñonate)</t>
  </si>
  <si>
    <t>Zapata de muro</t>
  </si>
  <si>
    <t>Relleno</t>
  </si>
  <si>
    <t>Muro de bloques</t>
  </si>
  <si>
    <t>Pañete en muros</t>
  </si>
  <si>
    <t>Cantos</t>
  </si>
  <si>
    <t>Piso frotado</t>
  </si>
  <si>
    <t xml:space="preserve">Pintura </t>
  </si>
  <si>
    <t>Puerta de barra y malla de piñonate</t>
  </si>
  <si>
    <t>Foto control y caja de breakers</t>
  </si>
  <si>
    <t xml:space="preserve">Prepadado por: </t>
  </si>
  <si>
    <t>Ing. José Mena Marte</t>
  </si>
  <si>
    <t>Codia: 18,319</t>
  </si>
  <si>
    <t>ANALISIS DE COSTO CONSTRUCCION JARDIN</t>
  </si>
  <si>
    <t>FECHA: 23/08/2016</t>
  </si>
  <si>
    <t xml:space="preserve">AYUNTAMIENTO MUNICIPAL  </t>
  </si>
  <si>
    <t>SAN CRISTOBAL</t>
  </si>
  <si>
    <t>ITBIS en base a Dirección Técnica</t>
  </si>
  <si>
    <t>OBRA DE TOMA</t>
  </si>
  <si>
    <t>MURO DIQUE DE SECCION VARIABLE Q = 0.90 qqs/M³</t>
  </si>
  <si>
    <t>DELANTAR DIQUE DE H.A. e = 0.20, Q = 3.59 qqs/M³</t>
  </si>
  <si>
    <t>Hormigón de 210 Kg/Cm2 con ligadora</t>
  </si>
  <si>
    <t>Mano de Obra Acero</t>
  </si>
  <si>
    <t>Encofrado y desencofrado de Losa todo costo</t>
  </si>
  <si>
    <t>LOSA AMORTIGUADORA DE H.A. e = 0.20, Q = 3.40 qqs/M³</t>
  </si>
  <si>
    <t xml:space="preserve">MURO DE H.A. EN VERTEDOR e = 0.30, Q =1.78 qqs/M³ </t>
  </si>
  <si>
    <t>ZAPATA DIQUE (2.10 x 0.40), Q =1.78 qqs/M³</t>
  </si>
  <si>
    <t xml:space="preserve">Hormigón de 180 Kg/Cm2 Ligado a mano </t>
  </si>
  <si>
    <t>MURO DE SECCION NO VARIABLE, Q =2.20 qqs/M³</t>
  </si>
  <si>
    <t>REGISTRO DESARENADOR DE H.A.</t>
  </si>
  <si>
    <t xml:space="preserve">LOSA DE FONDO e = 0.15, Q = 4.08 qqs/m³ </t>
  </si>
  <si>
    <t xml:space="preserve">MUROS PERIMETRALES e = 0.20, Q = 2.67qqs/m³ </t>
  </si>
  <si>
    <t>Encofrado y Desencofrado todo costo</t>
  </si>
  <si>
    <t xml:space="preserve">LOSA DE TECHO e = 0.10, Q = 5.04qqs/m³ </t>
  </si>
  <si>
    <t>M. O. Colocación Acero (incluye Altura)</t>
  </si>
  <si>
    <t>BORDILLO (0.15 X 0.10) q=1.40 qq/M³</t>
  </si>
  <si>
    <t>Encofrado  y desencofrado  Bordillo</t>
  </si>
  <si>
    <t>M. O. Colocación Acero</t>
  </si>
  <si>
    <t>Costo / M³</t>
  </si>
  <si>
    <t>REGISTRO PARA VALVULA DE ENTRADA</t>
  </si>
  <si>
    <t xml:space="preserve">LOSA DE FONDO e = 0.10, Q = 1.44 qqs/m³ </t>
  </si>
  <si>
    <t xml:space="preserve"> BLOQUES 6'', 3/8" A .80 M</t>
  </si>
  <si>
    <t>Bloques  de 6"</t>
  </si>
  <si>
    <r>
      <t>Horm.180 kg/cm2 en cámaras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Ligado a mano</t>
    </r>
  </si>
  <si>
    <t xml:space="preserve">Acero 3/8" </t>
  </si>
  <si>
    <t>Corte y amarre varilla.</t>
  </si>
  <si>
    <t>Llenado huecos.</t>
  </si>
  <si>
    <t>Coloc. bloques.</t>
  </si>
  <si>
    <t>REGISTRO PARA VALVULAS DE SALIDA</t>
  </si>
  <si>
    <t xml:space="preserve">LOSA DE FONDO e = 0.10, Q = 1.30 qqs/m³ </t>
  </si>
  <si>
    <t>LINEAS DE TUBERIAS</t>
  </si>
  <si>
    <t xml:space="preserve">REGISTRO DE BLOCK (1.0 X 1.0 ) PARA VALVULAS </t>
  </si>
  <si>
    <t>Excavacion (1.20 x 1.20)</t>
  </si>
  <si>
    <r>
      <t xml:space="preserve">Muros de 6" </t>
    </r>
    <r>
      <rPr>
        <sz val="12"/>
        <rFont val="Arial"/>
        <family val="2"/>
      </rPr>
      <t>Ø</t>
    </r>
    <r>
      <rPr>
        <sz val="12"/>
        <rFont val="Arial"/>
        <family val="2"/>
      </rPr>
      <t xml:space="preserve">3/8" </t>
    </r>
    <r>
      <rPr>
        <sz val="12"/>
        <rFont val="Times New Roman"/>
        <family val="1"/>
      </rPr>
      <t>@ 0.80</t>
    </r>
  </si>
  <si>
    <t>Losa de Fondo e=0.10</t>
  </si>
  <si>
    <t>Tapa de 1.0 x 1.0 de H.A.</t>
  </si>
  <si>
    <t>Bote de material sobrante</t>
  </si>
  <si>
    <t xml:space="preserve">ANCLAJE DE H.S. EN TUBERIAS Y PIEZAS </t>
  </si>
  <si>
    <t xml:space="preserve">Mano de Obra </t>
  </si>
  <si>
    <t>DEPOSITO REGULADOR CAPACIDAD 30 M3</t>
  </si>
  <si>
    <t>TORTA DE HORMIGON SIMPLE ESP. 0.05</t>
  </si>
  <si>
    <t>Hormigón  180 Kg/Cm2 a Mano</t>
  </si>
  <si>
    <t>Mano de Obra  Rateado</t>
  </si>
  <si>
    <t>ZAPATAS DE MUROS PERIMETRALES Q = 0.90 qqs/M³ (1.00 x 0.35)</t>
  </si>
  <si>
    <t xml:space="preserve">LOSA DE FONDO Q = 1.14qq/m³  e=0.15 </t>
  </si>
  <si>
    <t>Mano de Obra Acero (incluye Altura)</t>
  </si>
  <si>
    <t>Encofrado y desencofrado todo costo</t>
  </si>
  <si>
    <t xml:space="preserve">MUROS PERIMETRALES  0.15M de H.A (Q = 2.73qq/m3)  </t>
  </si>
  <si>
    <t>LOSA DE TECHO H.A. (Q = 1.67 qq/m3) e=0.10</t>
  </si>
  <si>
    <t>ACERA PERIMETRAL FROTADA</t>
  </si>
  <si>
    <t>CASETA DE CLORACION</t>
  </si>
  <si>
    <t>Encofrado  y desencofrado de Vigas todo costo (Tapa y tapa)</t>
  </si>
  <si>
    <t xml:space="preserve">M. O. Colocación Acero </t>
  </si>
  <si>
    <t>LOSA DE TECHO H.A. (Q = 0.65 qq/m3) e=0.10</t>
  </si>
  <si>
    <t xml:space="preserve"> BLOCK CALADOS TIPO VENTANA (0.20 x 0.40)</t>
  </si>
  <si>
    <t>Sum. Block Calados Tipo Ventana</t>
  </si>
  <si>
    <t>Mortero 1 : 4</t>
  </si>
  <si>
    <t>Mano de Obra Colc.</t>
  </si>
  <si>
    <t>PISO Hormigon Frotado a Color</t>
  </si>
  <si>
    <t>polvo Color</t>
  </si>
  <si>
    <t>Lb</t>
  </si>
  <si>
    <t>Fdas.</t>
  </si>
  <si>
    <t xml:space="preserve">ANCLAJE DE H.S. EN ACOMETIDAS 0.25 x 0.40 x 0.40 </t>
  </si>
  <si>
    <t xml:space="preserve">Excavacion </t>
  </si>
  <si>
    <t>Suministro y colocacion de moldes (10 usos)</t>
  </si>
  <si>
    <t>Terminacion de cantos y resanes</t>
  </si>
  <si>
    <t xml:space="preserve">Pintura Azul </t>
  </si>
  <si>
    <t>CARETEO</t>
  </si>
  <si>
    <t xml:space="preserve">Mortero 1:4 </t>
  </si>
  <si>
    <t>PAÑETE INTERIOR PULIDO</t>
  </si>
  <si>
    <t>Mortero 1:3</t>
  </si>
  <si>
    <t xml:space="preserve">Madera de Pino </t>
  </si>
  <si>
    <t>P2.</t>
  </si>
  <si>
    <t>Andamios</t>
  </si>
  <si>
    <t>Mt2.</t>
  </si>
  <si>
    <t xml:space="preserve">Mano de Obra Pañete </t>
  </si>
  <si>
    <t>CANTOS</t>
  </si>
  <si>
    <t xml:space="preserve">Madera de Pino  </t>
  </si>
  <si>
    <t>Mano de Obra Cantos</t>
  </si>
  <si>
    <t>ML.</t>
  </si>
  <si>
    <t>Costo / Ml</t>
  </si>
  <si>
    <t>PAÑETE EXTERIOR PULIDO CON ADITIVO</t>
  </si>
  <si>
    <t xml:space="preserve">Regla </t>
  </si>
  <si>
    <t>Sx Pel</t>
  </si>
  <si>
    <t>Gl</t>
  </si>
  <si>
    <t>FINO DE LOSA DE FONDO con ADITIVO</t>
  </si>
  <si>
    <t>Mt3.</t>
  </si>
  <si>
    <t>Reglas (2 de 1"x4"x3.28' / 10 usos).</t>
  </si>
  <si>
    <t>Subida y Bajada de Materiales</t>
  </si>
  <si>
    <t>Mano de obra.</t>
  </si>
  <si>
    <t>FINO DE LOSA DE FONDO PULIDO con ADITIVO</t>
  </si>
  <si>
    <t xml:space="preserve">FINO DE LOSA DE TECHO </t>
  </si>
  <si>
    <t>Subida de Materiales</t>
  </si>
  <si>
    <t>ZABALETAS CON ADITIVO</t>
  </si>
  <si>
    <t xml:space="preserve">Subida y Bajada de  Materiales </t>
  </si>
  <si>
    <t xml:space="preserve">PAÑETE INTERIOR </t>
  </si>
  <si>
    <t xml:space="preserve">PAÑETE EXTERIOR </t>
  </si>
  <si>
    <t xml:space="preserve">PAÑETE DE TECHO </t>
  </si>
  <si>
    <t>M.O. corte y soldadura tubos</t>
  </si>
  <si>
    <t>Pintura oxido Rojo</t>
  </si>
  <si>
    <t>Pintura epoxica</t>
  </si>
  <si>
    <t>TAPA METALICA CON CANDADO (0.70 MT X 0.70 MT)</t>
  </si>
  <si>
    <t xml:space="preserve">Suministro Tapa de  aluminio </t>
  </si>
  <si>
    <t>Candado</t>
  </si>
  <si>
    <t>Colocación</t>
  </si>
  <si>
    <t>.</t>
  </si>
  <si>
    <t>Costo / Ud</t>
  </si>
  <si>
    <t>TAPA METALICA CON CANDADO (1.10 MT X 1.10 MT)</t>
  </si>
  <si>
    <t>TAPA METALICA CON CANDADO (1.15 MT X 1.70 MT)</t>
  </si>
  <si>
    <t>IMPERMEABILIZANTES</t>
  </si>
  <si>
    <t>"AQUAPEL" para .2125 m3 horm. 180.</t>
  </si>
  <si>
    <t>gl</t>
  </si>
  <si>
    <t>Sellador "popular " sobre área expuesta.</t>
  </si>
  <si>
    <t>PINTURA ACRÍLICA TECHO</t>
  </si>
  <si>
    <t>Pintura  Acrilica</t>
  </si>
  <si>
    <t>Piedra sobre paredes.</t>
  </si>
  <si>
    <t>Aplicación (dos manos).</t>
  </si>
  <si>
    <t xml:space="preserve">Andamios </t>
  </si>
  <si>
    <t>Desperdicios y retoques.</t>
  </si>
  <si>
    <t xml:space="preserve">PINTURA ACRÍLICA EXTERIOR </t>
  </si>
  <si>
    <t>Costo / M²</t>
  </si>
  <si>
    <t xml:space="preserve">Construcción de Piso  con mallaelectrosoldada 15x15, en hormigón 210 kg/cm², C/ligadora e = 0.10 mts </t>
  </si>
  <si>
    <t>Mano de Colocacion</t>
  </si>
  <si>
    <t xml:space="preserve">Sum. Ceramica </t>
  </si>
  <si>
    <t>SUM. Y COLC. CERAMICA</t>
  </si>
  <si>
    <t>SANEAMIENTO CONTEN</t>
  </si>
  <si>
    <t>Mano de obra reparacion</t>
  </si>
  <si>
    <t>MOCHETAS</t>
  </si>
  <si>
    <t xml:space="preserve">BARANDA LATERAL </t>
  </si>
  <si>
    <t xml:space="preserve">colocacion </t>
  </si>
  <si>
    <t>VERJA MALLA CICLÓNICA</t>
  </si>
  <si>
    <t xml:space="preserve">Malla ciclónica de 6´   Inc. Palometas,3L Alam. De púas (Análisis para 12 ML) </t>
  </si>
  <si>
    <t>Tubo Galvanizado 11/2"x15</t>
  </si>
  <si>
    <t>Tubo HG 2"x10'</t>
  </si>
  <si>
    <t>Tubo H.G. 11/4"x20</t>
  </si>
  <si>
    <t xml:space="preserve">Malla ciclónica de 6´   </t>
  </si>
  <si>
    <t>j)</t>
  </si>
  <si>
    <t>Copa 2"</t>
  </si>
  <si>
    <t>Copa 11/2"</t>
  </si>
  <si>
    <t>Barras Tensoras</t>
  </si>
  <si>
    <t>m)</t>
  </si>
  <si>
    <t>Abrazadera de 11/2"</t>
  </si>
  <si>
    <t>p)</t>
  </si>
  <si>
    <t>Alambre Dulce # 18</t>
  </si>
  <si>
    <t>LB</t>
  </si>
  <si>
    <t>q)</t>
  </si>
  <si>
    <t>PINTURA OXIDO AZUL EN PUERTA</t>
  </si>
  <si>
    <t>Pintura  Oxido</t>
  </si>
  <si>
    <t>Thinner.</t>
  </si>
  <si>
    <t xml:space="preserve">PINTURA OXIDO ROJO </t>
  </si>
  <si>
    <t xml:space="preserve"> Oxido Rojo</t>
  </si>
  <si>
    <t>Alimentador entre postes 1 y 2, formado por: 2C thw No. 10  Fases, 1C thw No. 12 Tierra, tubería pvc-sdr-26-3/4"¢, Incl. M.O 67</t>
  </si>
  <si>
    <t>Alimentador Thw No.10</t>
  </si>
  <si>
    <t>Pies</t>
  </si>
  <si>
    <t>Alimentador Thw No.12</t>
  </si>
  <si>
    <t>Tuberia PVC 3/4</t>
  </si>
  <si>
    <t>Sum. Y Colcacion de Resgistros  6"x6''x4",</t>
  </si>
  <si>
    <t>Sum registros  6"x6''x4",</t>
  </si>
  <si>
    <t>Excavacion y Tapado</t>
  </si>
  <si>
    <t>Costo / UD</t>
  </si>
  <si>
    <t>TUBERIA 1/2" PVC SCH-40</t>
  </si>
  <si>
    <t>BASTONES DE 1/2" x 1 mts. H.G.</t>
  </si>
  <si>
    <t>ADAPTADOR MACHO 1/2" PVC</t>
  </si>
  <si>
    <t>CODO 1/2" x 90 H.G.</t>
  </si>
  <si>
    <t>LLAVE DE CHORRO 1/2" BRONCE</t>
  </si>
  <si>
    <t>CEMENTO SOLVENTE</t>
  </si>
  <si>
    <t>ANCLAJES DE H.S. (SEGÚN DISEÑO)</t>
  </si>
  <si>
    <t>EXCAVACION Y TAPADO</t>
  </si>
  <si>
    <t>ABRAZADERA 3" a  ½"</t>
  </si>
  <si>
    <t>MANO DE OBRA</t>
  </si>
  <si>
    <t>UDS</t>
  </si>
  <si>
    <t>Kgs</t>
  </si>
  <si>
    <t>INSTALACION DE ACOMETIDA PARA REGUIO EN RED DE DISTRIBUCION Ø3"</t>
  </si>
  <si>
    <t xml:space="preserve">Mantenimiento de dos meses de plantas </t>
  </si>
  <si>
    <t>Obreros (2 Hombres)</t>
  </si>
  <si>
    <t xml:space="preserve"> BLOQUES 6'', 3/8" A .20 M SNP</t>
  </si>
  <si>
    <t xml:space="preserve">MUROS JARDINERA PARA ASIENTO  0.15M de H.A (Q = 2.73qq/m3)  </t>
  </si>
  <si>
    <t>LOSA DE ASIENTO H.A. (Q = 1.67 qq/m3) e=0.10</t>
  </si>
  <si>
    <t>Suministro y colocación de Coralillos</t>
  </si>
  <si>
    <t>Suministro Arbolitos coralillos</t>
  </si>
  <si>
    <t>Siembra de Arbolitos coralillos</t>
  </si>
  <si>
    <t>TORTA DE HORMIGON SIMPLE ESP. 0.10</t>
  </si>
  <si>
    <t>RESANE GRIETAS EN PAREDES</t>
  </si>
  <si>
    <t xml:space="preserve">Vigas de Amarre  a nivel de techo (0.15 x 0.20 mts) 4Ø3/8" + Est. Ø3/8" @0.20   </t>
  </si>
  <si>
    <t>Interruptor doble</t>
  </si>
  <si>
    <t>pl</t>
  </si>
  <si>
    <t>Ud.</t>
  </si>
  <si>
    <t>LBS</t>
  </si>
  <si>
    <t>PA</t>
  </si>
  <si>
    <t>Ayudante</t>
  </si>
  <si>
    <t>COSTO/UD</t>
  </si>
  <si>
    <t>Zapata de muros de Block</t>
  </si>
  <si>
    <t>Hormigón 180 Kg/Cm2 con ligadora</t>
  </si>
  <si>
    <t xml:space="preserve">Losa y vuelo de hormigón  Esp: 0.12 m (Q = 0.57 qq/m3) </t>
  </si>
  <si>
    <t>Cemento</t>
  </si>
  <si>
    <t>Fda</t>
  </si>
  <si>
    <t>Cerámicas en paredes .20x.30 en baños</t>
  </si>
  <si>
    <t xml:space="preserve"> M2</t>
  </si>
  <si>
    <t>Derretido cemento blanco (100 LBS)</t>
  </si>
  <si>
    <t>Fun</t>
  </si>
  <si>
    <t>Estopa</t>
  </si>
  <si>
    <t>Mezcla para natilla</t>
  </si>
  <si>
    <t xml:space="preserve">Colocación en paredes de losetas cerámica </t>
  </si>
  <si>
    <t>Ligado</t>
  </si>
  <si>
    <t>NATILLA DE CEMENTO PARA CERAMICAS</t>
  </si>
  <si>
    <t xml:space="preserve"> CERAMICAS BLANCA EN PARED DE BAÑO</t>
  </si>
  <si>
    <t>ANALISIS DE ELECTRICOS.</t>
  </si>
  <si>
    <t>Salidas de Luces cenitales  en tuberia PVC (s/analisis).</t>
  </si>
  <si>
    <t>CANT.</t>
  </si>
  <si>
    <t>Caja Registro Octogonal 1/2"</t>
  </si>
  <si>
    <t>Tubo PVC 1/2" x 20' SDR-26</t>
  </si>
  <si>
    <t>Curva Ref. PVC 1/2"</t>
  </si>
  <si>
    <t>Alambre tw # 12</t>
  </si>
  <si>
    <t>PL</t>
  </si>
  <si>
    <t>Roceta de Porcelana</t>
  </si>
  <si>
    <t>M.o</t>
  </si>
  <si>
    <t>Costo/und</t>
  </si>
  <si>
    <t xml:space="preserve">Interruptor Sencillo </t>
  </si>
  <si>
    <t>Caja 2x4x1/2 americana</t>
  </si>
  <si>
    <t>Pl.</t>
  </si>
  <si>
    <t>Interruptor sencillo btticino+Tapa</t>
  </si>
  <si>
    <t xml:space="preserve">Tomacorriente 110v Doble </t>
  </si>
  <si>
    <t>Caja rectangular 2 x 4 Americana</t>
  </si>
  <si>
    <t>Tuberia 1/2" PVC SDR-26</t>
  </si>
  <si>
    <t>Curva 1/2" PVC SDR-26</t>
  </si>
  <si>
    <t xml:space="preserve">Alambre THW No. 12 </t>
  </si>
  <si>
    <t>Alambre THW No. 14</t>
  </si>
  <si>
    <t>Tomacorriente doble  (con su tapa)</t>
  </si>
  <si>
    <t>Salida Telefonica</t>
  </si>
  <si>
    <t>Caja 2x4x3/4 americana</t>
  </si>
  <si>
    <t>Tapa ciega plastica</t>
  </si>
  <si>
    <t>Panel de distribucion con 6 breaker de 20 AMP.</t>
  </si>
  <si>
    <t xml:space="preserve">formado por : </t>
  </si>
  <si>
    <t xml:space="preserve">Panel de distribucion </t>
  </si>
  <si>
    <t>Tuberia 3/4" PVC SDR-26</t>
  </si>
  <si>
    <t>Curva 3/4" PVC SDR-26</t>
  </si>
  <si>
    <t xml:space="preserve"> Brk. 20A/1p</t>
  </si>
  <si>
    <t>Alimentador formado por: 2THW #10 en ducto de Ø 3/4" P.V.C.</t>
  </si>
  <si>
    <t>Conductores THW No. 10, 2 hilos</t>
  </si>
  <si>
    <t>Conductores THW No. 12, 1 hilos</t>
  </si>
  <si>
    <t>Conductores THW No. 14, 1 hilos</t>
  </si>
  <si>
    <t xml:space="preserve">Varilla de tierra </t>
  </si>
  <si>
    <t>Coxnector de tierra</t>
  </si>
  <si>
    <t xml:space="preserve"> 1 Tubo de 3/4''x10' PVC</t>
  </si>
  <si>
    <t>M O Líneas</t>
  </si>
  <si>
    <t xml:space="preserve">   </t>
  </si>
  <si>
    <t>a</t>
  </si>
  <si>
    <t>b</t>
  </si>
  <si>
    <t>d</t>
  </si>
  <si>
    <t>e</t>
  </si>
  <si>
    <t>f</t>
  </si>
  <si>
    <t>g</t>
  </si>
  <si>
    <t>c</t>
  </si>
  <si>
    <t>Interruptor doble btticino+Tapa</t>
  </si>
  <si>
    <t>h</t>
  </si>
  <si>
    <t>Costo/PL</t>
  </si>
  <si>
    <t>Caja de Inspeccion ( 0.60 x 0.60 Mts )</t>
  </si>
  <si>
    <t>Excavacion</t>
  </si>
  <si>
    <t>Pañete pulido muros de bloques y fondo</t>
  </si>
  <si>
    <t>Media caña</t>
  </si>
  <si>
    <t>Pa</t>
  </si>
  <si>
    <t>Tapa de Hormigón</t>
  </si>
  <si>
    <t>Mano de obra</t>
  </si>
  <si>
    <t xml:space="preserve">Bloques de 0.10 mts (4") </t>
  </si>
  <si>
    <t>Acero 3/8" x 20' -G40</t>
  </si>
  <si>
    <t>Alambre dulce #18</t>
  </si>
  <si>
    <t>Mezcla 1:3</t>
  </si>
  <si>
    <t>Colocación bloques de 0.10 mts</t>
  </si>
  <si>
    <t xml:space="preserve">MUROS de 4" con ø 3/8 @ 0.40 M </t>
  </si>
  <si>
    <t>Muro de bloques de 4" BNP</t>
  </si>
  <si>
    <t>Trampa de Grasa  1.00  x 0.60 x 0.60 M (dentro)</t>
  </si>
  <si>
    <t>Excavación</t>
  </si>
  <si>
    <t>Bloques de 6"</t>
  </si>
  <si>
    <t>Pañete liso en Muros:</t>
  </si>
  <si>
    <t xml:space="preserve">Trampa de Grasa  1.00  x 0.60 x 0.60 M </t>
  </si>
  <si>
    <t>Septico (1.50 x 0.80 x1.00) mts interior</t>
  </si>
  <si>
    <t>Relleno de reposicion</t>
  </si>
  <si>
    <t>Bote de material sobramte  E:1.20</t>
  </si>
  <si>
    <t>ME</t>
  </si>
  <si>
    <t>Losa de fondo</t>
  </si>
  <si>
    <t>Cemento cris</t>
  </si>
  <si>
    <r>
      <t xml:space="preserve">Acero de </t>
    </r>
    <r>
      <rPr>
        <sz val="12"/>
        <rFont val="Calibri"/>
        <family val="2"/>
      </rPr>
      <t>Ø</t>
    </r>
    <r>
      <rPr>
        <sz val="12"/>
        <rFont val="Times New Roman"/>
        <family val="1"/>
      </rPr>
      <t xml:space="preserve"> 3/8"</t>
    </r>
  </si>
  <si>
    <t>Arena</t>
  </si>
  <si>
    <t>Gravas</t>
  </si>
  <si>
    <t>Ligado de Vaciado</t>
  </si>
  <si>
    <t>Losa superior</t>
  </si>
  <si>
    <t xml:space="preserve">Encogrado </t>
  </si>
  <si>
    <t>Muros de bloques de 0.15 @ 0.40 mts</t>
  </si>
  <si>
    <t>Pañete pulido</t>
  </si>
  <si>
    <t>Tapa hormigón</t>
  </si>
  <si>
    <t>Ligado de Vaciado con ligadora</t>
  </si>
  <si>
    <t>Preliminares</t>
  </si>
  <si>
    <t>Replanteo</t>
  </si>
  <si>
    <t>P.A.</t>
  </si>
  <si>
    <t>Hormigon Armado en:</t>
  </si>
  <si>
    <t>Zapata de muros (0.25 x 0.45)m,3Ø3/8"+est.Ø3/8" @0.20m</t>
  </si>
  <si>
    <t>Zapata de columnas (1.50 x 1.50 x 0.25)m,11 Ø1/2" A/D"</t>
  </si>
  <si>
    <t>Columnas circulares D = 0.30m, 6Ø1/2"+ est.Ø3/8" @0.20m</t>
  </si>
  <si>
    <t>Vigas amarre BNP (0.15 x 0.25)m, 4Ø3/8"+ est.Ø3/8" @0.20m</t>
  </si>
  <si>
    <t>Viga Durmiente (0.25 x 0.30)m, 5Ø1/2" + 2Ø3/8"+est.Ø3/8" @0.20m</t>
  </si>
  <si>
    <t xml:space="preserve">Columna circular, D=0.30m,  6ø 1/2, est. ø3/8 @ 0.2, f'c 210kg/cm2 industrial, 8 unid. (VER DISEÑO) </t>
  </si>
  <si>
    <t>Acero estructural 6ø 1/2</t>
  </si>
  <si>
    <t xml:space="preserve">Hormigón 210 KG/cms2 </t>
  </si>
  <si>
    <t xml:space="preserve">Acero estructural 4 ø 3/8" </t>
  </si>
  <si>
    <t xml:space="preserve">Acero estructural est. ø3/8 @ 0.20 </t>
  </si>
  <si>
    <t>Acero estructural 5 ø 1/2" + 2Ø3/8"</t>
  </si>
  <si>
    <t>1.5/.2</t>
  </si>
  <si>
    <t>Vigas de amarre en columnas perimetral (0.25 x 0.30)m, 3Ø1/2"+2Ø3/8"+                            est.Ø3/8" @0.20</t>
  </si>
  <si>
    <t>Acero estructural 3 ø 1/2" + 2Ø3/8"</t>
  </si>
  <si>
    <t>Losa con vuelo inclinada (e=0.13), f'c 210 kg/cm2, ø 3/8" @ 0.25 m A. D. y Adicional ø 3/8" @ 0.50 m (VER DISEÑO)</t>
  </si>
  <si>
    <t>GOTEROS</t>
  </si>
  <si>
    <t>Suministro  tubos 2" HG</t>
  </si>
  <si>
    <t xml:space="preserve"> COLOCACION TUBERIA 3 " PVC CON ESPIGA Y CAMPANA</t>
  </si>
  <si>
    <t>Plomero</t>
  </si>
  <si>
    <t>Transporte Interno (2 Hombres)</t>
  </si>
  <si>
    <t>Sub-Total</t>
  </si>
  <si>
    <t>Ml / Dia</t>
  </si>
  <si>
    <t xml:space="preserve">Herramientas </t>
  </si>
  <si>
    <t>Zabaletas</t>
  </si>
  <si>
    <t>A</t>
  </si>
  <si>
    <t>REGISTRO COLECTOR (Imbornal) (1.95 x 1.85) h = 1.50 Mts, 8 uds</t>
  </si>
  <si>
    <t>Movimiento de Tierra:</t>
  </si>
  <si>
    <t>Excavacion Material No Clasificado</t>
  </si>
  <si>
    <t>Bote de Material Inservible e = 1.21</t>
  </si>
  <si>
    <t>3.1</t>
  </si>
  <si>
    <t>Losa de Fondo e = 0.12, Q = 1.70 qqs/M³</t>
  </si>
  <si>
    <t>3.2</t>
  </si>
  <si>
    <t>Losa de Techo e = 0.15, Q = 4.35 qqs/M³</t>
  </si>
  <si>
    <t>3.3</t>
  </si>
  <si>
    <t>Zapata Muro de Blocks, Q = 0.70 qqs/M³</t>
  </si>
  <si>
    <t>Muro de Blocks:</t>
  </si>
  <si>
    <t>4.1</t>
  </si>
  <si>
    <t>De 6" con Camaras Llenas y Bastones 3/8" a 0.40 Mts</t>
  </si>
  <si>
    <t>Terminacion de Superficie:</t>
  </si>
  <si>
    <t>5.1</t>
  </si>
  <si>
    <t>Pañete Pulido Interior Muros</t>
  </si>
  <si>
    <t>5.2</t>
  </si>
  <si>
    <t>Fino Losa de Fondo Pulido</t>
  </si>
  <si>
    <t>Zabaletas Verticales</t>
  </si>
  <si>
    <t>Zabaletas Horizontales (Fondo Imbornal)</t>
  </si>
  <si>
    <t>Instalaciones:</t>
  </si>
  <si>
    <t>Suministro y Colc.  Reg. Hierro Fundido con Marco en Angular</t>
  </si>
  <si>
    <t>Suministro y Colc. Tapa Circular Metalica Pesada en Hierro Fundido con su Marco</t>
  </si>
  <si>
    <t>COSTO UNIDAD INBORNAL</t>
  </si>
  <si>
    <t>REGISTROS PARA TUBERIA DRENAJE Ø36" (1.5 x 1.5)M, H = 1.5 M</t>
  </si>
  <si>
    <t>Muros</t>
  </si>
  <si>
    <t>Losa fondo</t>
  </si>
  <si>
    <t>Pañete Pulido</t>
  </si>
  <si>
    <t>Losa Techo</t>
  </si>
  <si>
    <t>Tapa Metalica</t>
  </si>
  <si>
    <t>COSTO UNIDAD REGISTRO</t>
  </si>
  <si>
    <t>Precio Tubos de Hormigon</t>
  </si>
  <si>
    <t>Sum.</t>
  </si>
  <si>
    <t>Coloc.</t>
  </si>
  <si>
    <t>Sum. Y colc.</t>
  </si>
  <si>
    <t>Nota 2:</t>
  </si>
  <si>
    <t>Columnas  (0.20 x 0.20), 4Ø1/2"+ est.Ø3/8" @0.20m</t>
  </si>
  <si>
    <t>Acero estructural 4ø 1/2</t>
  </si>
  <si>
    <t>Vigas amarre  (0.15 x 0.20)m, 4Ø3/8"+ est.Ø3/8" @0.20m</t>
  </si>
  <si>
    <t>Dintel  (0.15 x 0.20)m, 4Ø3/8"+ est.Ø3/8" @0.20m</t>
  </si>
  <si>
    <t>Vigas 6 ml, H=0.25 Ø3 3/4, 3/8 @0.20</t>
  </si>
  <si>
    <t>Acero estructural 3 ø 3/4" + 2 Ø 1/2</t>
  </si>
  <si>
    <t>Losa entrepiso (inc. Vuelo) e=0.12 m</t>
  </si>
  <si>
    <t>Zapata de muros de bordillos (0.45x0.20m) 3Ø3/8"+estr.3/8"@0.20m, f´c 210 km/cm/²</t>
  </si>
  <si>
    <t>Zapata de pedestales (1.70x1.70x0.50m) Ø1/2"@0.20m, f´c 210 km/cm/²</t>
  </si>
  <si>
    <t>Pedestales (0.3x0.50m), 9Ø3/4", 2Ø1/2",3Ø3/8"+estr.3/8"@0.10m, f´c 210 km/cm/²</t>
  </si>
  <si>
    <t>Acero estructural Ø3/4 y Ø1/2</t>
  </si>
  <si>
    <t>Seguros, Póliza y Fianzas</t>
  </si>
  <si>
    <t>Supervisión</t>
  </si>
  <si>
    <t>Codia.</t>
  </si>
  <si>
    <t>SAN  CRISTOBAL  R.D.</t>
  </si>
  <si>
    <t>PIS-8</t>
  </si>
  <si>
    <t>Piso de cemento PULIDO en parqueos con malla electrosoldada</t>
  </si>
  <si>
    <t xml:space="preserve">madera pino americano bruta </t>
  </si>
  <si>
    <t xml:space="preserve"> M.O. piso de Hormigon pulido</t>
  </si>
  <si>
    <t>mano de obra malla</t>
  </si>
  <si>
    <t>pulido con helicoptero</t>
  </si>
  <si>
    <t>Herramientas (2%)</t>
  </si>
  <si>
    <t>Hormigón 180 KG/cms2, con  ligadora.</t>
  </si>
  <si>
    <t>Malla electrosoldada 2.5 x 2.5   10 x 10</t>
  </si>
  <si>
    <t xml:space="preserve"> Nota 1: </t>
  </si>
  <si>
    <t>La Partida Seguros, Pólizas y Fianzas será pagada previa presentación de Factura.</t>
  </si>
  <si>
    <t>La Partida de Imprevistos será autorizada por decisión de esta Dirección (Ingeniería y/o Despacho del Alcalde).</t>
  </si>
  <si>
    <t>Elaborado por:</t>
  </si>
  <si>
    <t>Revizado  y  Autorizado  por:</t>
  </si>
  <si>
    <t>________________________________________</t>
  </si>
  <si>
    <t>Provincia</t>
  </si>
  <si>
    <t>Presupuesto: Terminacion de Cancha en el Sector San Isidro Proximo al Vertedero.</t>
  </si>
  <si>
    <t>Monto Total RD$:</t>
  </si>
  <si>
    <t>Limpieza  general  y  bote  de  material  inservibles.</t>
  </si>
  <si>
    <t>Caseta de Materiales</t>
  </si>
  <si>
    <t xml:space="preserve">Moviemiento de tierra </t>
  </si>
  <si>
    <t>Hormigón Armado</t>
  </si>
  <si>
    <r>
      <t>Terminacion  de  Pedestales (0.3x0.50m), 8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>3/4", 4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>1/2",3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>3/8"+estr.3/8"@0.10m, f´c 210 km/cm/²</t>
    </r>
  </si>
  <si>
    <r>
      <t>M</t>
    </r>
    <r>
      <rPr>
        <sz val="11"/>
        <rFont val="Calibri"/>
        <family val="2"/>
      </rPr>
      <t>³</t>
    </r>
  </si>
  <si>
    <t>Encaches  perimetrales</t>
  </si>
  <si>
    <t xml:space="preserve">Muros </t>
  </si>
  <si>
    <t>Muros block 0.15 M s/cruce 0 3/8" A 0.80mts.  (SNP).</t>
  </si>
  <si>
    <t>Viga  de  Amarre  de  refuerzo  de  muros  perimetrales, (0.15  x  0.20)m,   4Ø  3/8´´+  estr.  3/8´´  @0.20m, Hormigón Armado 180  Kg/cm/2.</t>
  </si>
  <si>
    <t>Terminación de Piso</t>
  </si>
  <si>
    <r>
      <t>Piso de cancha con malla electrosoldada 2.5 x 2.5   10 x 10, esp=0.12 mts, f´c=210 kg/cm</t>
    </r>
    <r>
      <rPr>
        <sz val="11"/>
        <rFont val="Calibri"/>
        <family val="2"/>
      </rPr>
      <t>²</t>
    </r>
  </si>
  <si>
    <t>Limpieza final</t>
  </si>
  <si>
    <t>Terminación de Cancha en el Sector San Isidro Próximo al Vertedero.</t>
  </si>
  <si>
    <t>Ubicación: San Isidro Próximo al Vertedero.</t>
  </si>
  <si>
    <t>San Isidro Próximo al Vertedero.</t>
  </si>
  <si>
    <t>Suministro,regado,nivelado y  compactado material  de  relleno ( Grueso)(e=0.60 mts.)</t>
  </si>
  <si>
    <t>Fecha 20-06-2023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</si>
</sst>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$&quot;#,##0.00;\-&quot;$&quot;#,##0.00"/>
    <numFmt numFmtId="165" formatCode="_-* #,##0.00\ _€_-;\-* #,##0.00\ _€_-;_-* &quot;-&quot;??\ _€_-;_-@_-"/>
    <numFmt numFmtId="166" formatCode="_(* #,##0.00_);_(* \(#,##0.00\);_(* &quot;-&quot;??_);_(@_)"/>
    <numFmt numFmtId="167" formatCode="#,##0.00;[Red]#,##0.00"/>
    <numFmt numFmtId="168" formatCode="#,##0.000"/>
    <numFmt numFmtId="169" formatCode="#."/>
    <numFmt numFmtId="170" formatCode="0.0"/>
    <numFmt numFmtId="171" formatCode="_([$€-2]* #,##0.00_);_([$€-2]* \(#,##0.00\);_([$€-2]* &quot;-&quot;??_)"/>
    <numFmt numFmtId="172" formatCode="_-[$€-2]* #,##0.00_-;\-[$€-2]* #,##0.00_-;_-[$€-2]* &quot;-&quot;??_-"/>
    <numFmt numFmtId="173" formatCode="_-* #,##0.00\ [$€]_-;\-* #,##0.00\ [$€]_-;_-* &quot;-&quot;??\ [$€]_-;_-@_-"/>
    <numFmt numFmtId="174" formatCode="_-* #,##0.00\ _P_t_s_-;\-* #,##0.00\ _P_t_s_-;_-* &quot;-&quot;??\ _P_t_s_-;_-@_-"/>
    <numFmt numFmtId="175" formatCode="_-* #,##0.00\ &quot;Pts&quot;_-;\-* #,##0.00\ &quot;Pts&quot;_-;_-* &quot;-&quot;??\ &quot;Pts&quot;_-;_-@_-"/>
    <numFmt numFmtId="176" formatCode="0.00_)"/>
    <numFmt numFmtId="177" formatCode="0.000"/>
    <numFmt numFmtId="178" formatCode="0.00;[Red]0.0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2"/>
      <name val="Arial"/>
      <family val="2"/>
    </font>
    <font>
      <b/>
      <sz val="11.5"/>
      <name val="Arial"/>
      <family val="2"/>
    </font>
    <font>
      <i/>
      <sz val="11.5"/>
      <name val="Arial"/>
      <family val="2"/>
    </font>
    <font>
      <sz val="12"/>
      <name val="Arial"/>
      <family val="2"/>
    </font>
    <font>
      <b/>
      <i/>
      <sz val="11.5"/>
      <name val="Arial"/>
      <family val="2"/>
    </font>
    <font>
      <sz val="12"/>
      <color indexed="50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b/>
      <u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u/>
      <sz val="12"/>
      <name val="Arial"/>
      <family val="2"/>
    </font>
    <font>
      <sz val="14"/>
      <name val="Palatino Linotype"/>
      <family val="1"/>
    </font>
    <font>
      <sz val="12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2"/>
      <color theme="3" tint="-0.249977111117893"/>
      <name val="Times New Roman"/>
      <family val="1"/>
    </font>
    <font>
      <b/>
      <sz val="12"/>
      <color theme="3" tint="-0.249977111117893"/>
      <name val="Times New Roman"/>
      <family val="1"/>
    </font>
    <font>
      <sz val="12"/>
      <name val="Calibri"/>
      <family val="2"/>
      <scheme val="minor"/>
    </font>
    <font>
      <b/>
      <i/>
      <sz val="11"/>
      <color rgb="FF0000CC"/>
      <name val="Times New Roman"/>
      <family val="1"/>
    </font>
    <font>
      <sz val="1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theme="0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double">
        <color indexed="64"/>
      </right>
      <top style="thin">
        <color indexed="22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8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 style="double">
        <color indexed="64"/>
      </right>
      <top style="double">
        <color indexed="8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52">
    <xf numFmtId="0" fontId="0" fillId="0" borderId="0"/>
    <xf numFmtId="0" fontId="1" fillId="0" borderId="0"/>
    <xf numFmtId="0" fontId="13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9" fontId="24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0" fontId="26" fillId="0" borderId="0"/>
    <xf numFmtId="0" fontId="2" fillId="0" borderId="0"/>
    <xf numFmtId="9" fontId="2" fillId="0" borderId="0" applyFont="0" applyFill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1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3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5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61" applyNumberFormat="0" applyAlignment="0" applyProtection="0"/>
    <xf numFmtId="0" fontId="31" fillId="23" borderId="61" applyNumberFormat="0" applyAlignment="0" applyProtection="0"/>
    <xf numFmtId="0" fontId="31" fillId="23" borderId="61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9" fillId="18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4" fillId="0" borderId="63" applyNumberFormat="0" applyFill="0" applyAlignment="0" applyProtection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5" fillId="0" borderId="64" applyNumberFormat="0" applyFill="0" applyAlignment="0" applyProtection="0"/>
    <xf numFmtId="0" fontId="30" fillId="22" borderId="0" applyNumberFormat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36" fillId="14" borderId="0" applyNumberFormat="0" applyBorder="0" applyAlignment="0" applyProtection="0"/>
    <xf numFmtId="0" fontId="26" fillId="0" borderId="0"/>
    <xf numFmtId="176" fontId="37" fillId="0" borderId="0"/>
    <xf numFmtId="0" fontId="2" fillId="0" borderId="0"/>
    <xf numFmtId="0" fontId="2" fillId="0" borderId="0"/>
    <xf numFmtId="0" fontId="2" fillId="0" borderId="0"/>
    <xf numFmtId="39" fontId="13" fillId="0" borderId="0"/>
    <xf numFmtId="0" fontId="3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9" fillId="23" borderId="65" applyNumberFormat="0" applyAlignment="0" applyProtection="0"/>
    <xf numFmtId="0" fontId="39" fillId="23" borderId="65" applyNumberFormat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23" borderId="65" applyNumberFormat="0" applyAlignment="0" applyProtection="0"/>
    <xf numFmtId="0" fontId="3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3" fillId="0" borderId="62" applyNumberFormat="0" applyFill="0" applyAlignment="0" applyProtection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66" applyNumberFormat="0" applyFill="0" applyAlignment="0" applyProtection="0"/>
    <xf numFmtId="0" fontId="2" fillId="0" borderId="0"/>
    <xf numFmtId="0" fontId="38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6">
    <xf numFmtId="0" fontId="0" fillId="0" borderId="0" xfId="0"/>
    <xf numFmtId="0" fontId="0" fillId="0" borderId="0" xfId="0" applyFill="1" applyBorder="1"/>
    <xf numFmtId="0" fontId="14" fillId="4" borderId="0" xfId="2" quotePrefix="1" applyFont="1" applyFill="1" applyBorder="1" applyAlignment="1">
      <alignment horizontal="right" vertical="top"/>
    </xf>
    <xf numFmtId="0" fontId="15" fillId="4" borderId="0" xfId="2" applyFont="1" applyFill="1" applyBorder="1" applyAlignment="1">
      <alignment horizontal="left"/>
    </xf>
    <xf numFmtId="2" fontId="16" fillId="4" borderId="0" xfId="2" applyNumberFormat="1" applyFont="1" applyFill="1" applyBorder="1"/>
    <xf numFmtId="0" fontId="16" fillId="4" borderId="0" xfId="2" applyFont="1" applyFill="1" applyBorder="1" applyAlignment="1">
      <alignment horizontal="center"/>
    </xf>
    <xf numFmtId="4" fontId="16" fillId="4" borderId="0" xfId="2" applyNumberFormat="1" applyFont="1" applyFill="1" applyBorder="1"/>
    <xf numFmtId="0" fontId="2" fillId="0" borderId="0" xfId="3"/>
    <xf numFmtId="1" fontId="14" fillId="5" borderId="6" xfId="2" applyNumberFormat="1" applyFont="1" applyFill="1" applyBorder="1" applyAlignment="1" applyProtection="1">
      <alignment horizontal="center" vertical="top"/>
    </xf>
    <xf numFmtId="0" fontId="14" fillId="5" borderId="7" xfId="2" applyFont="1" applyFill="1" applyBorder="1" applyAlignment="1" applyProtection="1">
      <alignment horizontal="center"/>
    </xf>
    <xf numFmtId="2" fontId="14" fillId="5" borderId="7" xfId="2" applyNumberFormat="1" applyFont="1" applyFill="1" applyBorder="1"/>
    <xf numFmtId="0" fontId="14" fillId="5" borderId="7" xfId="2" applyFont="1" applyFill="1" applyBorder="1" applyAlignment="1">
      <alignment horizontal="center"/>
    </xf>
    <xf numFmtId="4" fontId="14" fillId="5" borderId="7" xfId="2" applyNumberFormat="1" applyFont="1" applyFill="1" applyBorder="1" applyAlignment="1">
      <alignment horizontal="center"/>
    </xf>
    <xf numFmtId="168" fontId="14" fillId="5" borderId="8" xfId="2" applyNumberFormat="1" applyFont="1" applyFill="1" applyBorder="1" applyAlignment="1">
      <alignment horizontal="center"/>
    </xf>
    <xf numFmtId="0" fontId="17" fillId="0" borderId="9" xfId="2" applyFont="1" applyBorder="1" applyAlignment="1">
      <alignment horizontal="right" vertical="top"/>
    </xf>
    <xf numFmtId="0" fontId="17" fillId="0" borderId="10" xfId="2" applyFont="1" applyBorder="1" applyAlignment="1">
      <alignment horizontal="left"/>
    </xf>
    <xf numFmtId="2" fontId="17" fillId="0" borderId="10" xfId="2" applyNumberFormat="1" applyFont="1" applyBorder="1"/>
    <xf numFmtId="0" fontId="17" fillId="0" borderId="10" xfId="2" applyFont="1" applyBorder="1" applyAlignment="1">
      <alignment horizontal="center"/>
    </xf>
    <xf numFmtId="4" fontId="17" fillId="0" borderId="10" xfId="2" applyNumberFormat="1" applyFont="1" applyBorder="1"/>
    <xf numFmtId="4" fontId="17" fillId="0" borderId="11" xfId="2" applyNumberFormat="1" applyFont="1" applyBorder="1"/>
    <xf numFmtId="0" fontId="17" fillId="0" borderId="10" xfId="2" applyNumberFormat="1" applyFont="1" applyBorder="1" applyAlignment="1">
      <alignment horizontal="left" wrapText="1"/>
    </xf>
    <xf numFmtId="0" fontId="17" fillId="0" borderId="10" xfId="2" applyFont="1" applyBorder="1" applyAlignment="1">
      <alignment horizontal="left" wrapText="1"/>
    </xf>
    <xf numFmtId="0" fontId="14" fillId="0" borderId="9" xfId="2" applyFont="1" applyBorder="1" applyAlignment="1">
      <alignment horizontal="right" vertical="top"/>
    </xf>
    <xf numFmtId="0" fontId="14" fillId="0" borderId="10" xfId="2" applyFont="1" applyBorder="1" applyAlignment="1">
      <alignment horizontal="left"/>
    </xf>
    <xf numFmtId="4" fontId="14" fillId="0" borderId="11" xfId="2" applyNumberFormat="1" applyFont="1" applyBorder="1"/>
    <xf numFmtId="0" fontId="14" fillId="0" borderId="10" xfId="2" applyFont="1" applyBorder="1" applyAlignment="1">
      <alignment horizontal="left" vertical="center" wrapText="1"/>
    </xf>
    <xf numFmtId="0" fontId="14" fillId="0" borderId="12" xfId="2" applyFont="1" applyBorder="1" applyAlignment="1">
      <alignment horizontal="right" vertical="top"/>
    </xf>
    <xf numFmtId="0" fontId="14" fillId="0" borderId="13" xfId="2" applyFont="1" applyBorder="1" applyAlignment="1">
      <alignment horizontal="left" vertical="center" wrapText="1"/>
    </xf>
    <xf numFmtId="2" fontId="17" fillId="0" borderId="13" xfId="2" applyNumberFormat="1" applyFont="1" applyBorder="1"/>
    <xf numFmtId="0" fontId="17" fillId="0" borderId="13" xfId="2" applyFont="1" applyBorder="1" applyAlignment="1">
      <alignment horizontal="center"/>
    </xf>
    <xf numFmtId="4" fontId="17" fillId="0" borderId="13" xfId="2" applyNumberFormat="1" applyFont="1" applyBorder="1"/>
    <xf numFmtId="4" fontId="17" fillId="0" borderId="14" xfId="2" applyNumberFormat="1" applyFont="1" applyBorder="1"/>
    <xf numFmtId="1" fontId="17" fillId="6" borderId="15" xfId="2" applyNumberFormat="1" applyFont="1" applyFill="1" applyBorder="1" applyAlignment="1" applyProtection="1">
      <alignment horizontal="right" vertical="top"/>
    </xf>
    <xf numFmtId="0" fontId="14" fillId="6" borderId="16" xfId="2" applyFont="1" applyFill="1" applyBorder="1" applyAlignment="1" applyProtection="1">
      <alignment horizontal="center"/>
    </xf>
    <xf numFmtId="2" fontId="17" fillId="6" borderId="16" xfId="2" applyNumberFormat="1" applyFont="1" applyFill="1" applyBorder="1" applyProtection="1"/>
    <xf numFmtId="39" fontId="17" fillId="6" borderId="16" xfId="2" applyNumberFormat="1" applyFont="1" applyFill="1" applyBorder="1" applyAlignment="1" applyProtection="1">
      <alignment horizontal="center"/>
    </xf>
    <xf numFmtId="39" fontId="17" fillId="6" borderId="16" xfId="2" applyNumberFormat="1" applyFont="1" applyFill="1" applyBorder="1" applyProtection="1"/>
    <xf numFmtId="39" fontId="14" fillId="6" borderId="17" xfId="2" applyNumberFormat="1" applyFont="1" applyFill="1" applyBorder="1" applyProtection="1"/>
    <xf numFmtId="1" fontId="16" fillId="0" borderId="0" xfId="2" applyNumberFormat="1" applyFont="1" applyFill="1" applyBorder="1" applyAlignment="1" applyProtection="1">
      <alignment horizontal="right" vertical="top"/>
    </xf>
    <xf numFmtId="0" fontId="18" fillId="0" borderId="0" xfId="2" applyFont="1" applyFill="1" applyBorder="1" applyAlignment="1" applyProtection="1">
      <alignment horizontal="center"/>
    </xf>
    <xf numFmtId="2" fontId="16" fillId="0" borderId="0" xfId="2" applyNumberFormat="1" applyFont="1" applyFill="1" applyBorder="1" applyProtection="1"/>
    <xf numFmtId="39" fontId="16" fillId="0" borderId="0" xfId="2" applyNumberFormat="1" applyFont="1" applyFill="1" applyBorder="1" applyAlignment="1" applyProtection="1">
      <alignment horizontal="center"/>
    </xf>
    <xf numFmtId="39" fontId="16" fillId="0" borderId="0" xfId="2" applyNumberFormat="1" applyFont="1" applyFill="1" applyBorder="1" applyProtection="1"/>
    <xf numFmtId="39" fontId="18" fillId="0" borderId="0" xfId="2" applyNumberFormat="1" applyFont="1" applyFill="1" applyBorder="1" applyProtection="1"/>
    <xf numFmtId="0" fontId="14" fillId="4" borderId="18" xfId="2" applyFont="1" applyFill="1" applyBorder="1" applyAlignment="1">
      <alignment vertical="top"/>
    </xf>
    <xf numFmtId="0" fontId="14" fillId="4" borderId="18" xfId="2" applyFont="1" applyFill="1" applyBorder="1" applyAlignment="1">
      <alignment vertical="center"/>
    </xf>
    <xf numFmtId="2" fontId="17" fillId="4" borderId="18" xfId="2" applyNumberFormat="1" applyFont="1" applyFill="1" applyBorder="1" applyAlignment="1">
      <alignment horizontal="right" vertical="center"/>
    </xf>
    <xf numFmtId="0" fontId="17" fillId="4" borderId="18" xfId="2" applyFont="1" applyFill="1" applyBorder="1" applyAlignment="1">
      <alignment horizontal="center" vertical="center"/>
    </xf>
    <xf numFmtId="0" fontId="17" fillId="4" borderId="18" xfId="2" applyFont="1" applyFill="1" applyBorder="1" applyAlignment="1">
      <alignment horizontal="right" vertical="center"/>
    </xf>
    <xf numFmtId="0" fontId="17" fillId="0" borderId="19" xfId="2" applyFont="1" applyBorder="1" applyAlignment="1">
      <alignment horizontal="right" vertical="top"/>
    </xf>
    <xf numFmtId="0" fontId="17" fillId="0" borderId="20" xfId="2" applyFont="1" applyBorder="1" applyAlignment="1">
      <alignment horizontal="left" vertical="center"/>
    </xf>
    <xf numFmtId="2" fontId="17" fillId="0" borderId="20" xfId="2" applyNumberFormat="1" applyFont="1" applyBorder="1" applyAlignment="1">
      <alignment horizontal="right" vertical="center"/>
    </xf>
    <xf numFmtId="0" fontId="17" fillId="0" borderId="20" xfId="2" applyFont="1" applyBorder="1" applyAlignment="1">
      <alignment horizontal="center" vertical="center"/>
    </xf>
    <xf numFmtId="4" fontId="17" fillId="0" borderId="20" xfId="2" applyNumberFormat="1" applyFont="1" applyBorder="1" applyAlignment="1" applyProtection="1">
      <alignment horizontal="right" vertical="center"/>
    </xf>
    <xf numFmtId="4" fontId="17" fillId="0" borderId="21" xfId="2" applyNumberFormat="1" applyFont="1" applyBorder="1" applyAlignment="1" applyProtection="1">
      <alignment horizontal="right" vertical="center"/>
      <protection locked="0"/>
    </xf>
    <xf numFmtId="0" fontId="17" fillId="0" borderId="22" xfId="2" applyFont="1" applyBorder="1" applyAlignment="1">
      <alignment horizontal="right" vertical="top"/>
    </xf>
    <xf numFmtId="0" fontId="17" fillId="0" borderId="23" xfId="2" applyFont="1" applyBorder="1" applyAlignment="1">
      <alignment horizontal="left" vertical="center"/>
    </xf>
    <xf numFmtId="2" fontId="17" fillId="0" borderId="23" xfId="2" applyNumberFormat="1" applyFont="1" applyBorder="1" applyAlignment="1">
      <alignment horizontal="right" vertical="center"/>
    </xf>
    <xf numFmtId="0" fontId="17" fillId="0" borderId="23" xfId="2" applyFont="1" applyBorder="1" applyAlignment="1">
      <alignment horizontal="center" vertical="center"/>
    </xf>
    <xf numFmtId="4" fontId="17" fillId="0" borderId="23" xfId="2" applyNumberFormat="1" applyFont="1" applyBorder="1" applyAlignment="1" applyProtection="1">
      <alignment horizontal="right" vertical="center"/>
    </xf>
    <xf numFmtId="4" fontId="17" fillId="0" borderId="24" xfId="2" applyNumberFormat="1" applyFont="1" applyBorder="1" applyAlignment="1" applyProtection="1">
      <alignment horizontal="right" vertical="center"/>
      <protection locked="0"/>
    </xf>
    <xf numFmtId="0" fontId="17" fillId="0" borderId="23" xfId="2" quotePrefix="1" applyFont="1" applyBorder="1" applyAlignment="1">
      <alignment horizontal="left" vertical="center"/>
    </xf>
    <xf numFmtId="0" fontId="17" fillId="0" borderId="23" xfId="2" applyFont="1" applyBorder="1" applyAlignment="1">
      <alignment vertical="center"/>
    </xf>
    <xf numFmtId="0" fontId="17" fillId="0" borderId="23" xfId="2" quotePrefix="1" applyFont="1" applyBorder="1" applyAlignment="1">
      <alignment horizontal="left" vertical="center" wrapText="1"/>
    </xf>
    <xf numFmtId="0" fontId="17" fillId="0" borderId="23" xfId="2" applyFont="1" applyBorder="1" applyAlignment="1">
      <alignment horizontal="left" vertical="center" wrapText="1"/>
    </xf>
    <xf numFmtId="0" fontId="17" fillId="0" borderId="22" xfId="2" applyFont="1" applyBorder="1" applyAlignment="1">
      <alignment vertical="top"/>
    </xf>
    <xf numFmtId="39" fontId="17" fillId="0" borderId="23" xfId="2" applyNumberFormat="1" applyFont="1" applyBorder="1" applyAlignment="1" applyProtection="1">
      <alignment horizontal="right" vertical="center"/>
    </xf>
    <xf numFmtId="4" fontId="17" fillId="0" borderId="24" xfId="4" applyNumberFormat="1" applyFont="1" applyBorder="1" applyAlignment="1" applyProtection="1">
      <alignment horizontal="right" vertical="center"/>
    </xf>
    <xf numFmtId="4" fontId="17" fillId="0" borderId="23" xfId="2" applyNumberFormat="1" applyFont="1" applyBorder="1" applyAlignment="1" applyProtection="1">
      <alignment vertical="center"/>
    </xf>
    <xf numFmtId="0" fontId="17" fillId="0" borderId="25" xfId="2" applyFont="1" applyBorder="1" applyAlignment="1">
      <alignment vertical="top"/>
    </xf>
    <xf numFmtId="0" fontId="17" fillId="0" borderId="26" xfId="2" applyFont="1" applyBorder="1" applyAlignment="1">
      <alignment vertical="center"/>
    </xf>
    <xf numFmtId="2" fontId="17" fillId="0" borderId="26" xfId="2" applyNumberFormat="1" applyFont="1" applyBorder="1" applyAlignment="1">
      <alignment horizontal="right" vertical="center"/>
    </xf>
    <xf numFmtId="0" fontId="17" fillId="0" borderId="26" xfId="2" applyFont="1" applyBorder="1" applyAlignment="1">
      <alignment horizontal="center" vertical="center"/>
    </xf>
    <xf numFmtId="39" fontId="17" fillId="0" borderId="26" xfId="2" applyNumberFormat="1" applyFont="1" applyBorder="1" applyAlignment="1" applyProtection="1">
      <alignment horizontal="right" vertical="center"/>
    </xf>
    <xf numFmtId="4" fontId="17" fillId="0" borderId="27" xfId="4" applyNumberFormat="1" applyFont="1" applyBorder="1" applyAlignment="1" applyProtection="1">
      <alignment horizontal="right" vertical="center"/>
    </xf>
    <xf numFmtId="1" fontId="17" fillId="0" borderId="0" xfId="2" applyNumberFormat="1" applyFont="1" applyFill="1" applyBorder="1" applyAlignment="1" applyProtection="1">
      <alignment horizontal="right" vertical="top"/>
    </xf>
    <xf numFmtId="0" fontId="14" fillId="0" borderId="0" xfId="2" applyFont="1" applyFill="1" applyBorder="1" applyAlignment="1" applyProtection="1">
      <alignment horizontal="center"/>
    </xf>
    <xf numFmtId="2" fontId="17" fillId="0" borderId="0" xfId="2" applyNumberFormat="1" applyFont="1" applyFill="1" applyBorder="1" applyProtection="1"/>
    <xf numFmtId="39" fontId="17" fillId="0" borderId="0" xfId="2" applyNumberFormat="1" applyFont="1" applyFill="1" applyBorder="1" applyAlignment="1" applyProtection="1">
      <alignment horizontal="center"/>
    </xf>
    <xf numFmtId="39" fontId="17" fillId="0" borderId="0" xfId="2" applyNumberFormat="1" applyFont="1" applyFill="1" applyBorder="1" applyProtection="1"/>
    <xf numFmtId="39" fontId="14" fillId="0" borderId="0" xfId="2" applyNumberFormat="1" applyFont="1" applyFill="1" applyBorder="1" applyProtection="1"/>
    <xf numFmtId="0" fontId="14" fillId="4" borderId="18" xfId="2" applyFont="1" applyFill="1" applyBorder="1" applyAlignment="1">
      <alignment horizontal="left"/>
    </xf>
    <xf numFmtId="2" fontId="17" fillId="4" borderId="18" xfId="2" applyNumberFormat="1" applyFont="1" applyFill="1" applyBorder="1"/>
    <xf numFmtId="0" fontId="17" fillId="4" borderId="18" xfId="2" applyFont="1" applyFill="1" applyBorder="1"/>
    <xf numFmtId="0" fontId="17" fillId="0" borderId="10" xfId="2" quotePrefix="1" applyFont="1" applyBorder="1" applyAlignment="1">
      <alignment horizontal="center"/>
    </xf>
    <xf numFmtId="0" fontId="17" fillId="0" borderId="9" xfId="2" quotePrefix="1" applyFont="1" applyBorder="1" applyAlignment="1">
      <alignment horizontal="right" vertical="top"/>
    </xf>
    <xf numFmtId="0" fontId="17" fillId="0" borderId="12" xfId="2" quotePrefix="1" applyFont="1" applyBorder="1" applyAlignment="1">
      <alignment horizontal="right" vertical="top"/>
    </xf>
    <xf numFmtId="0" fontId="17" fillId="0" borderId="13" xfId="2" applyFont="1" applyBorder="1" applyAlignment="1">
      <alignment horizontal="left"/>
    </xf>
    <xf numFmtId="0" fontId="17" fillId="0" borderId="13" xfId="2" quotePrefix="1" applyFont="1" applyBorder="1" applyAlignment="1">
      <alignment horizontal="center"/>
    </xf>
    <xf numFmtId="1" fontId="17" fillId="0" borderId="18" xfId="2" applyNumberFormat="1" applyFont="1" applyFill="1" applyBorder="1" applyAlignment="1" applyProtection="1">
      <alignment horizontal="right" vertical="top"/>
    </xf>
    <xf numFmtId="0" fontId="14" fillId="0" borderId="18" xfId="2" applyFont="1" applyFill="1" applyBorder="1" applyAlignment="1" applyProtection="1">
      <alignment horizontal="center"/>
    </xf>
    <xf numFmtId="2" fontId="17" fillId="0" borderId="18" xfId="2" applyNumberFormat="1" applyFont="1" applyFill="1" applyBorder="1" applyProtection="1"/>
    <xf numFmtId="39" fontId="17" fillId="0" borderId="18" xfId="2" applyNumberFormat="1" applyFont="1" applyFill="1" applyBorder="1" applyAlignment="1" applyProtection="1">
      <alignment horizontal="center"/>
    </xf>
    <xf numFmtId="39" fontId="17" fillId="0" borderId="18" xfId="2" applyNumberFormat="1" applyFont="1" applyFill="1" applyBorder="1" applyProtection="1"/>
    <xf numFmtId="39" fontId="14" fillId="0" borderId="18" xfId="2" applyNumberFormat="1" applyFont="1" applyFill="1" applyBorder="1" applyProtection="1"/>
    <xf numFmtId="0" fontId="14" fillId="4" borderId="18" xfId="2" quotePrefix="1" applyFont="1" applyFill="1" applyBorder="1" applyAlignment="1">
      <alignment horizontal="right" vertical="top"/>
    </xf>
    <xf numFmtId="2" fontId="14" fillId="4" borderId="18" xfId="2" applyNumberFormat="1" applyFont="1" applyFill="1" applyBorder="1" applyAlignment="1">
      <alignment horizontal="left"/>
    </xf>
    <xf numFmtId="4" fontId="14" fillId="4" borderId="18" xfId="2" quotePrefix="1" applyNumberFormat="1" applyFont="1" applyFill="1" applyBorder="1" applyAlignment="1"/>
    <xf numFmtId="0" fontId="14" fillId="4" borderId="18" xfId="2" quotePrefix="1" applyFont="1" applyFill="1" applyBorder="1" applyAlignment="1">
      <alignment horizontal="center"/>
    </xf>
    <xf numFmtId="4" fontId="14" fillId="4" borderId="18" xfId="2" applyNumberFormat="1" applyFont="1" applyFill="1" applyBorder="1"/>
    <xf numFmtId="1" fontId="14" fillId="5" borderId="28" xfId="2" applyNumberFormat="1" applyFont="1" applyFill="1" applyBorder="1" applyAlignment="1" applyProtection="1">
      <alignment horizontal="center" vertical="top"/>
    </xf>
    <xf numFmtId="0" fontId="14" fillId="5" borderId="29" xfId="2" applyFont="1" applyFill="1" applyBorder="1" applyAlignment="1" applyProtection="1">
      <alignment horizontal="center"/>
    </xf>
    <xf numFmtId="2" fontId="14" fillId="5" borderId="29" xfId="2" applyNumberFormat="1" applyFont="1" applyFill="1" applyBorder="1"/>
    <xf numFmtId="0" fontId="14" fillId="5" borderId="29" xfId="2" applyFont="1" applyFill="1" applyBorder="1" applyAlignment="1">
      <alignment horizontal="center"/>
    </xf>
    <xf numFmtId="4" fontId="14" fillId="5" borderId="29" xfId="2" applyNumberFormat="1" applyFont="1" applyFill="1" applyBorder="1" applyAlignment="1">
      <alignment horizontal="center"/>
    </xf>
    <xf numFmtId="168" fontId="14" fillId="5" borderId="30" xfId="2" applyNumberFormat="1" applyFont="1" applyFill="1" applyBorder="1" applyAlignment="1">
      <alignment horizontal="center"/>
    </xf>
    <xf numFmtId="1" fontId="17" fillId="0" borderId="31" xfId="2" applyNumberFormat="1" applyFont="1" applyFill="1" applyBorder="1" applyAlignment="1" applyProtection="1">
      <alignment horizontal="right" vertical="top"/>
    </xf>
    <xf numFmtId="0" fontId="14" fillId="0" borderId="31" xfId="2" applyFont="1" applyFill="1" applyBorder="1" applyAlignment="1" applyProtection="1">
      <alignment horizontal="center"/>
    </xf>
    <xf numFmtId="2" fontId="17" fillId="0" borderId="31" xfId="2" applyNumberFormat="1" applyFont="1" applyFill="1" applyBorder="1" applyProtection="1"/>
    <xf numFmtId="39" fontId="17" fillId="0" borderId="31" xfId="2" applyNumberFormat="1" applyFont="1" applyFill="1" applyBorder="1" applyAlignment="1" applyProtection="1">
      <alignment horizontal="center"/>
    </xf>
    <xf numFmtId="39" fontId="17" fillId="0" borderId="31" xfId="2" applyNumberFormat="1" applyFont="1" applyFill="1" applyBorder="1" applyProtection="1"/>
    <xf numFmtId="39" fontId="14" fillId="0" borderId="31" xfId="2" applyNumberFormat="1" applyFont="1" applyFill="1" applyBorder="1" applyProtection="1"/>
    <xf numFmtId="2" fontId="17" fillId="0" borderId="10" xfId="4" applyNumberFormat="1" applyFont="1" applyBorder="1" applyAlignment="1">
      <alignment horizontal="right"/>
    </xf>
    <xf numFmtId="4" fontId="17" fillId="0" borderId="10" xfId="2" applyNumberFormat="1" applyFont="1" applyBorder="1" applyAlignment="1">
      <alignment horizontal="right"/>
    </xf>
    <xf numFmtId="0" fontId="19" fillId="0" borderId="12" xfId="2" quotePrefix="1" applyFont="1" applyBorder="1" applyAlignment="1">
      <alignment horizontal="right" vertical="top"/>
    </xf>
    <xf numFmtId="0" fontId="19" fillId="0" borderId="13" xfId="2" applyFont="1" applyBorder="1" applyAlignment="1">
      <alignment horizontal="left"/>
    </xf>
    <xf numFmtId="2" fontId="19" fillId="0" borderId="13" xfId="2" applyNumberFormat="1" applyFont="1" applyBorder="1" applyAlignment="1">
      <alignment horizontal="left"/>
    </xf>
    <xf numFmtId="4" fontId="19" fillId="0" borderId="13" xfId="2" applyNumberFormat="1" applyFont="1" applyBorder="1"/>
    <xf numFmtId="0" fontId="19" fillId="0" borderId="13" xfId="2" quotePrefix="1" applyFont="1" applyBorder="1" applyAlignment="1">
      <alignment horizontal="center"/>
    </xf>
    <xf numFmtId="4" fontId="19" fillId="0" borderId="14" xfId="2" applyNumberFormat="1" applyFont="1" applyBorder="1"/>
    <xf numFmtId="0" fontId="20" fillId="0" borderId="31" xfId="2" applyFont="1" applyBorder="1" applyAlignment="1">
      <alignment horizontal="right" vertical="top"/>
    </xf>
    <xf numFmtId="0" fontId="20" fillId="0" borderId="31" xfId="2" applyFont="1" applyBorder="1" applyAlignment="1">
      <alignment horizontal="left" vertical="center" wrapText="1"/>
    </xf>
    <xf numFmtId="2" fontId="21" fillId="0" borderId="31" xfId="2" applyNumberFormat="1" applyFont="1" applyBorder="1"/>
    <xf numFmtId="0" fontId="21" fillId="0" borderId="31" xfId="2" applyFont="1" applyBorder="1" applyAlignment="1">
      <alignment horizontal="center"/>
    </xf>
    <xf numFmtId="4" fontId="21" fillId="0" borderId="31" xfId="2" applyNumberFormat="1" applyFont="1" applyBorder="1"/>
    <xf numFmtId="4" fontId="17" fillId="0" borderId="11" xfId="2" applyNumberFormat="1" applyFont="1" applyBorder="1" applyAlignment="1">
      <alignment horizontal="right"/>
    </xf>
    <xf numFmtId="2" fontId="17" fillId="0" borderId="13" xfId="2" applyNumberFormat="1" applyFont="1" applyBorder="1" applyAlignment="1">
      <alignment horizontal="left"/>
    </xf>
    <xf numFmtId="0" fontId="14" fillId="7" borderId="32" xfId="2" applyFont="1" applyFill="1" applyBorder="1" applyAlignment="1">
      <alignment horizontal="center" vertical="top"/>
    </xf>
    <xf numFmtId="0" fontId="14" fillId="7" borderId="3" xfId="2" applyFont="1" applyFill="1" applyBorder="1" applyAlignment="1">
      <alignment horizontal="left" vertical="top"/>
    </xf>
    <xf numFmtId="2" fontId="17" fillId="7" borderId="3" xfId="2" applyNumberFormat="1" applyFont="1" applyFill="1" applyBorder="1"/>
    <xf numFmtId="0" fontId="17" fillId="7" borderId="3" xfId="2" applyFont="1" applyFill="1" applyBorder="1" applyAlignment="1">
      <alignment horizontal="center"/>
    </xf>
    <xf numFmtId="4" fontId="17" fillId="7" borderId="3" xfId="2" applyNumberFormat="1" applyFont="1" applyFill="1" applyBorder="1"/>
    <xf numFmtId="4" fontId="17" fillId="7" borderId="33" xfId="2" applyNumberFormat="1" applyFont="1" applyFill="1" applyBorder="1"/>
    <xf numFmtId="0" fontId="17" fillId="0" borderId="10" xfId="2" quotePrefix="1" applyFont="1" applyBorder="1" applyAlignment="1">
      <alignment horizontal="left"/>
    </xf>
    <xf numFmtId="0" fontId="22" fillId="7" borderId="32" xfId="5" applyFont="1" applyFill="1" applyBorder="1" applyAlignment="1">
      <alignment horizontal="center" vertical="top"/>
    </xf>
    <xf numFmtId="0" fontId="22" fillId="7" borderId="3" xfId="5" applyFont="1" applyFill="1" applyBorder="1" applyAlignment="1">
      <alignment horizontal="left" vertical="top"/>
    </xf>
    <xf numFmtId="4" fontId="23" fillId="7" borderId="3" xfId="5" applyNumberFormat="1" applyFont="1" applyFill="1" applyBorder="1"/>
    <xf numFmtId="0" fontId="23" fillId="7" borderId="3" xfId="5" applyFont="1" applyFill="1" applyBorder="1" applyAlignment="1">
      <alignment horizontal="center"/>
    </xf>
    <xf numFmtId="4" fontId="23" fillId="7" borderId="33" xfId="5" applyNumberFormat="1" applyFont="1" applyFill="1" applyBorder="1"/>
    <xf numFmtId="1" fontId="14" fillId="5" borderId="1" xfId="5" applyNumberFormat="1" applyFont="1" applyFill="1" applyBorder="1" applyAlignment="1" applyProtection="1">
      <alignment horizontal="center" vertical="top"/>
    </xf>
    <xf numFmtId="0" fontId="14" fillId="5" borderId="1" xfId="5" applyFont="1" applyFill="1" applyBorder="1" applyAlignment="1" applyProtection="1">
      <alignment horizontal="center" vertical="top"/>
    </xf>
    <xf numFmtId="4" fontId="14" fillId="5" borderId="1" xfId="5" applyNumberFormat="1" applyFont="1" applyFill="1" applyBorder="1"/>
    <xf numFmtId="0" fontId="14" fillId="5" borderId="1" xfId="5" applyFont="1" applyFill="1" applyBorder="1" applyAlignment="1">
      <alignment horizontal="center"/>
    </xf>
    <xf numFmtId="4" fontId="14" fillId="5" borderId="1" xfId="5" applyNumberFormat="1" applyFont="1" applyFill="1" applyBorder="1" applyAlignment="1">
      <alignment horizontal="center"/>
    </xf>
    <xf numFmtId="168" fontId="14" fillId="5" borderId="1" xfId="5" applyNumberFormat="1" applyFont="1" applyFill="1" applyBorder="1" applyAlignment="1">
      <alignment horizontal="center"/>
    </xf>
    <xf numFmtId="0" fontId="22" fillId="0" borderId="32" xfId="5" applyFont="1" applyBorder="1" applyAlignment="1">
      <alignment horizontal="center" vertical="top"/>
    </xf>
    <xf numFmtId="0" fontId="22" fillId="0" borderId="3" xfId="5" applyFont="1" applyBorder="1" applyAlignment="1">
      <alignment horizontal="left" vertical="top" wrapText="1"/>
    </xf>
    <xf numFmtId="4" fontId="23" fillId="0" borderId="3" xfId="5" applyNumberFormat="1" applyFont="1" applyBorder="1"/>
    <xf numFmtId="0" fontId="23" fillId="0" borderId="3" xfId="5" applyFont="1" applyBorder="1" applyAlignment="1">
      <alignment horizontal="center"/>
    </xf>
    <xf numFmtId="4" fontId="23" fillId="0" borderId="33" xfId="5" applyNumberFormat="1" applyFont="1" applyBorder="1"/>
    <xf numFmtId="0" fontId="23" fillId="0" borderId="32" xfId="5" applyFont="1" applyBorder="1" applyAlignment="1">
      <alignment horizontal="center" vertical="top"/>
    </xf>
    <xf numFmtId="0" fontId="23" fillId="0" borderId="3" xfId="5" applyFont="1" applyBorder="1" applyAlignment="1">
      <alignment horizontal="left" vertical="top"/>
    </xf>
    <xf numFmtId="0" fontId="23" fillId="0" borderId="32" xfId="5" quotePrefix="1" applyFont="1" applyBorder="1" applyAlignment="1">
      <alignment horizontal="center" vertical="top"/>
    </xf>
    <xf numFmtId="0" fontId="22" fillId="0" borderId="32" xfId="5" quotePrefix="1" applyFont="1" applyBorder="1" applyAlignment="1">
      <alignment horizontal="center" vertical="top"/>
    </xf>
    <xf numFmtId="0" fontId="22" fillId="0" borderId="3" xfId="5" quotePrefix="1" applyFont="1" applyBorder="1" applyAlignment="1">
      <alignment horizontal="left" vertical="top"/>
    </xf>
    <xf numFmtId="0" fontId="22" fillId="0" borderId="3" xfId="5" applyFont="1" applyBorder="1" applyAlignment="1">
      <alignment horizontal="left"/>
    </xf>
    <xf numFmtId="4" fontId="22" fillId="0" borderId="3" xfId="5" quotePrefix="1" applyNumberFormat="1" applyFont="1" applyBorder="1" applyAlignment="1"/>
    <xf numFmtId="0" fontId="22" fillId="0" borderId="3" xfId="5" quotePrefix="1" applyFont="1" applyBorder="1" applyAlignment="1">
      <alignment horizontal="center"/>
    </xf>
    <xf numFmtId="4" fontId="22" fillId="0" borderId="33" xfId="5" applyNumberFormat="1" applyFont="1" applyBorder="1"/>
    <xf numFmtId="1" fontId="23" fillId="6" borderId="34" xfId="5" applyNumberFormat="1" applyFont="1" applyFill="1" applyBorder="1" applyAlignment="1" applyProtection="1">
      <alignment horizontal="center" vertical="top"/>
    </xf>
    <xf numFmtId="0" fontId="22" fillId="6" borderId="5" xfId="5" applyFont="1" applyFill="1" applyBorder="1" applyAlignment="1" applyProtection="1">
      <alignment horizontal="center" vertical="top"/>
    </xf>
    <xf numFmtId="39" fontId="23" fillId="6" borderId="5" xfId="5" applyNumberFormat="1" applyFont="1" applyFill="1" applyBorder="1" applyProtection="1"/>
    <xf numFmtId="39" fontId="23" fillId="6" borderId="5" xfId="5" applyNumberFormat="1" applyFont="1" applyFill="1" applyBorder="1" applyAlignment="1" applyProtection="1">
      <alignment horizontal="center"/>
    </xf>
    <xf numFmtId="39" fontId="22" fillId="6" borderId="35" xfId="5" applyNumberFormat="1" applyFont="1" applyFill="1" applyBorder="1" applyProtection="1"/>
    <xf numFmtId="1" fontId="17" fillId="0" borderId="9" xfId="2" applyNumberFormat="1" applyFont="1" applyBorder="1" applyAlignment="1">
      <alignment horizontal="right" vertical="top"/>
    </xf>
    <xf numFmtId="0" fontId="17" fillId="0" borderId="10" xfId="2" applyFont="1" applyBorder="1"/>
    <xf numFmtId="2" fontId="17" fillId="0" borderId="10" xfId="2" applyNumberFormat="1" applyFont="1" applyBorder="1" applyAlignment="1">
      <alignment horizontal="right"/>
    </xf>
    <xf numFmtId="4" fontId="14" fillId="0" borderId="13" xfId="2" quotePrefix="1" applyNumberFormat="1" applyFont="1" applyBorder="1" applyAlignment="1"/>
    <xf numFmtId="0" fontId="14" fillId="0" borderId="13" xfId="2" applyFont="1" applyBorder="1" applyAlignment="1">
      <alignment horizontal="center"/>
    </xf>
    <xf numFmtId="4" fontId="14" fillId="0" borderId="14" xfId="2" applyNumberFormat="1" applyFont="1" applyBorder="1"/>
    <xf numFmtId="1" fontId="14" fillId="5" borderId="36" xfId="5" applyNumberFormat="1" applyFont="1" applyFill="1" applyBorder="1" applyAlignment="1" applyProtection="1">
      <alignment horizontal="center" vertical="top"/>
    </xf>
    <xf numFmtId="0" fontId="14" fillId="5" borderId="37" xfId="5" applyFont="1" applyFill="1" applyBorder="1" applyAlignment="1" applyProtection="1">
      <alignment horizontal="center" vertical="top"/>
    </xf>
    <xf numFmtId="4" fontId="14" fillId="5" borderId="37" xfId="5" applyNumberFormat="1" applyFont="1" applyFill="1" applyBorder="1"/>
    <xf numFmtId="0" fontId="14" fillId="5" borderId="37" xfId="5" applyFont="1" applyFill="1" applyBorder="1" applyAlignment="1">
      <alignment horizontal="center"/>
    </xf>
    <xf numFmtId="4" fontId="14" fillId="5" borderId="37" xfId="5" applyNumberFormat="1" applyFont="1" applyFill="1" applyBorder="1" applyAlignment="1">
      <alignment horizontal="center"/>
    </xf>
    <xf numFmtId="168" fontId="14" fillId="5" borderId="38" xfId="5" applyNumberFormat="1" applyFont="1" applyFill="1" applyBorder="1" applyAlignment="1">
      <alignment horizontal="center"/>
    </xf>
    <xf numFmtId="0" fontId="23" fillId="0" borderId="3" xfId="5" applyFont="1" applyBorder="1" applyAlignment="1">
      <alignment horizontal="left" vertical="top" wrapText="1"/>
    </xf>
    <xf numFmtId="0" fontId="22" fillId="4" borderId="39" xfId="5" applyFont="1" applyFill="1" applyBorder="1" applyAlignment="1">
      <alignment horizontal="right" vertical="top"/>
    </xf>
    <xf numFmtId="0" fontId="22" fillId="4" borderId="18" xfId="5" applyFont="1" applyFill="1" applyBorder="1" applyAlignment="1">
      <alignment horizontal="left"/>
    </xf>
    <xf numFmtId="0" fontId="23" fillId="4" borderId="18" xfId="5" applyFont="1" applyFill="1" applyBorder="1" applyAlignment="1">
      <alignment horizontal="left"/>
    </xf>
    <xf numFmtId="4" fontId="22" fillId="4" borderId="18" xfId="5" quotePrefix="1" applyNumberFormat="1" applyFont="1" applyFill="1" applyBorder="1" applyAlignment="1"/>
    <xf numFmtId="0" fontId="22" fillId="4" borderId="18" xfId="5" applyFont="1" applyFill="1" applyBorder="1" applyAlignment="1">
      <alignment horizontal="center"/>
    </xf>
    <xf numFmtId="4" fontId="22" fillId="4" borderId="40" xfId="5" applyNumberFormat="1" applyFont="1" applyFill="1" applyBorder="1"/>
    <xf numFmtId="1" fontId="22" fillId="5" borderId="28" xfId="5" applyNumberFormat="1" applyFont="1" applyFill="1" applyBorder="1" applyAlignment="1" applyProtection="1">
      <alignment horizontal="center" vertical="top"/>
    </xf>
    <xf numFmtId="0" fontId="22" fillId="5" borderId="29" xfId="5" applyFont="1" applyFill="1" applyBorder="1" applyAlignment="1" applyProtection="1">
      <alignment horizontal="center"/>
    </xf>
    <xf numFmtId="4" fontId="22" fillId="5" borderId="29" xfId="5" applyNumberFormat="1" applyFont="1" applyFill="1" applyBorder="1"/>
    <xf numFmtId="0" fontId="22" fillId="5" borderId="29" xfId="5" applyFont="1" applyFill="1" applyBorder="1" applyAlignment="1">
      <alignment horizontal="center"/>
    </xf>
    <xf numFmtId="4" fontId="22" fillId="5" borderId="29" xfId="5" applyNumberFormat="1" applyFont="1" applyFill="1" applyBorder="1" applyAlignment="1">
      <alignment horizontal="center"/>
    </xf>
    <xf numFmtId="168" fontId="22" fillId="5" borderId="30" xfId="5" applyNumberFormat="1" applyFont="1" applyFill="1" applyBorder="1" applyAlignment="1">
      <alignment horizontal="center"/>
    </xf>
    <xf numFmtId="0" fontId="23" fillId="0" borderId="9" xfId="5" applyFont="1" applyBorder="1" applyAlignment="1">
      <alignment horizontal="right" vertical="top"/>
    </xf>
    <xf numFmtId="0" fontId="23" fillId="0" borderId="10" xfId="5" quotePrefix="1" applyFont="1" applyBorder="1" applyAlignment="1">
      <alignment horizontal="left" wrapText="1"/>
    </xf>
    <xf numFmtId="4" fontId="23" fillId="0" borderId="10" xfId="5" applyNumberFormat="1" applyFont="1" applyBorder="1"/>
    <xf numFmtId="0" fontId="23" fillId="0" borderId="10" xfId="5" quotePrefix="1" applyFont="1" applyBorder="1" applyAlignment="1">
      <alignment horizontal="center"/>
    </xf>
    <xf numFmtId="4" fontId="17" fillId="0" borderId="11" xfId="5" applyNumberFormat="1" applyFont="1" applyBorder="1"/>
    <xf numFmtId="0" fontId="23" fillId="0" borderId="10" xfId="5" applyFont="1" applyBorder="1" applyAlignment="1">
      <alignment horizontal="left"/>
    </xf>
    <xf numFmtId="0" fontId="23" fillId="0" borderId="10" xfId="5" applyFont="1" applyBorder="1" applyAlignment="1">
      <alignment horizontal="center"/>
    </xf>
    <xf numFmtId="0" fontId="23" fillId="0" borderId="9" xfId="5" quotePrefix="1" applyFont="1" applyBorder="1" applyAlignment="1">
      <alignment horizontal="right" vertical="top"/>
    </xf>
    <xf numFmtId="0" fontId="23" fillId="0" borderId="22" xfId="5" quotePrefix="1" applyFont="1" applyBorder="1" applyAlignment="1">
      <alignment horizontal="right" vertical="top"/>
    </xf>
    <xf numFmtId="0" fontId="23" fillId="0" borderId="23" xfId="5" applyFont="1" applyBorder="1" applyAlignment="1">
      <alignment horizontal="left"/>
    </xf>
    <xf numFmtId="4" fontId="23" fillId="0" borderId="23" xfId="5" applyNumberFormat="1" applyFont="1" applyBorder="1"/>
    <xf numFmtId="0" fontId="23" fillId="0" borderId="23" xfId="5" applyFont="1" applyBorder="1" applyAlignment="1">
      <alignment horizontal="center"/>
    </xf>
    <xf numFmtId="4" fontId="23" fillId="0" borderId="24" xfId="5" applyNumberFormat="1" applyFont="1" applyBorder="1"/>
    <xf numFmtId="1" fontId="23" fillId="6" borderId="15" xfId="5" applyNumberFormat="1" applyFont="1" applyFill="1" applyBorder="1" applyAlignment="1" applyProtection="1">
      <alignment horizontal="right" vertical="top"/>
    </xf>
    <xf numFmtId="0" fontId="22" fillId="6" borderId="16" xfId="5" applyFont="1" applyFill="1" applyBorder="1" applyAlignment="1" applyProtection="1">
      <alignment horizontal="center"/>
    </xf>
    <xf numFmtId="39" fontId="23" fillId="6" borderId="16" xfId="5" applyNumberFormat="1" applyFont="1" applyFill="1" applyBorder="1" applyProtection="1"/>
    <xf numFmtId="39" fontId="23" fillId="6" borderId="16" xfId="5" applyNumberFormat="1" applyFont="1" applyFill="1" applyBorder="1" applyAlignment="1" applyProtection="1">
      <alignment horizontal="center"/>
    </xf>
    <xf numFmtId="39" fontId="22" fillId="6" borderId="17" xfId="5" applyNumberFormat="1" applyFont="1" applyFill="1" applyBorder="1" applyProtection="1"/>
    <xf numFmtId="1" fontId="14" fillId="5" borderId="28" xfId="5" applyNumberFormat="1" applyFont="1" applyFill="1" applyBorder="1" applyAlignment="1" applyProtection="1">
      <alignment horizontal="center"/>
    </xf>
    <xf numFmtId="0" fontId="14" fillId="5" borderId="29" xfId="5" applyFont="1" applyFill="1" applyBorder="1" applyAlignment="1" applyProtection="1">
      <alignment horizontal="center"/>
    </xf>
    <xf numFmtId="4" fontId="14" fillId="5" borderId="29" xfId="5" applyNumberFormat="1" applyFont="1" applyFill="1" applyBorder="1"/>
    <xf numFmtId="0" fontId="14" fillId="5" borderId="29" xfId="5" applyFont="1" applyFill="1" applyBorder="1" applyAlignment="1">
      <alignment horizontal="center"/>
    </xf>
    <xf numFmtId="4" fontId="14" fillId="5" borderId="29" xfId="5" applyNumberFormat="1" applyFont="1" applyFill="1" applyBorder="1" applyAlignment="1">
      <alignment horizontal="center"/>
    </xf>
    <xf numFmtId="168" fontId="14" fillId="5" borderId="30" xfId="5" applyNumberFormat="1" applyFont="1" applyFill="1" applyBorder="1" applyAlignment="1">
      <alignment horizontal="center"/>
    </xf>
    <xf numFmtId="1" fontId="17" fillId="6" borderId="15" xfId="5" applyNumberFormat="1" applyFont="1" applyFill="1" applyBorder="1" applyAlignment="1" applyProtection="1">
      <alignment horizontal="right"/>
    </xf>
    <xf numFmtId="0" fontId="14" fillId="6" borderId="16" xfId="5" applyFont="1" applyFill="1" applyBorder="1" applyAlignment="1" applyProtection="1">
      <alignment horizontal="center"/>
    </xf>
    <xf numFmtId="39" fontId="17" fillId="6" borderId="16" xfId="5" applyNumberFormat="1" applyFont="1" applyFill="1" applyBorder="1" applyProtection="1"/>
    <xf numFmtId="39" fontId="17" fillId="6" borderId="16" xfId="5" applyNumberFormat="1" applyFont="1" applyFill="1" applyBorder="1" applyAlignment="1" applyProtection="1">
      <alignment horizontal="center"/>
    </xf>
    <xf numFmtId="39" fontId="14" fillId="6" borderId="17" xfId="5" applyNumberFormat="1" applyFont="1" applyFill="1" applyBorder="1" applyProtection="1"/>
    <xf numFmtId="0" fontId="17" fillId="0" borderId="3" xfId="5" applyFont="1" applyBorder="1" applyAlignment="1">
      <alignment vertical="top"/>
    </xf>
    <xf numFmtId="0" fontId="14" fillId="4" borderId="18" xfId="5" applyFont="1" applyFill="1" applyBorder="1"/>
    <xf numFmtId="0" fontId="17" fillId="0" borderId="3" xfId="5" applyFont="1" applyBorder="1" applyAlignment="1">
      <alignment horizontal="left" vertical="top"/>
    </xf>
    <xf numFmtId="0" fontId="2" fillId="0" borderId="0" xfId="5"/>
    <xf numFmtId="0" fontId="17" fillId="0" borderId="23" xfId="2" applyFont="1" applyBorder="1"/>
    <xf numFmtId="0" fontId="17" fillId="0" borderId="23" xfId="2" applyFont="1" applyBorder="1" applyAlignment="1">
      <alignment horizontal="center"/>
    </xf>
    <xf numFmtId="0" fontId="17" fillId="0" borderId="23" xfId="2" applyFont="1" applyBorder="1" applyAlignment="1">
      <alignment horizontal="left"/>
    </xf>
    <xf numFmtId="4" fontId="17" fillId="0" borderId="23" xfId="2" applyNumberFormat="1" applyFont="1" applyBorder="1"/>
    <xf numFmtId="1" fontId="14" fillId="4" borderId="18" xfId="5" applyNumberFormat="1" applyFont="1" applyFill="1" applyBorder="1" applyAlignment="1">
      <alignment horizontal="right"/>
    </xf>
    <xf numFmtId="4" fontId="17" fillId="4" borderId="18" xfId="5" applyNumberFormat="1" applyFont="1" applyFill="1" applyBorder="1" applyAlignment="1">
      <alignment horizontal="center"/>
    </xf>
    <xf numFmtId="0" fontId="17" fillId="4" borderId="18" xfId="5" applyFont="1" applyFill="1" applyBorder="1" applyAlignment="1">
      <alignment horizontal="center"/>
    </xf>
    <xf numFmtId="4" fontId="14" fillId="4" borderId="18" xfId="5" applyNumberFormat="1" applyFont="1" applyFill="1" applyBorder="1" applyAlignment="1">
      <alignment horizontal="center"/>
    </xf>
    <xf numFmtId="0" fontId="17" fillId="0" borderId="23" xfId="5" applyFont="1" applyBorder="1" applyAlignment="1">
      <alignment wrapText="1"/>
    </xf>
    <xf numFmtId="4" fontId="17" fillId="0" borderId="23" xfId="5" applyNumberFormat="1" applyFont="1" applyBorder="1" applyAlignment="1">
      <alignment horizontal="right"/>
    </xf>
    <xf numFmtId="0" fontId="17" fillId="0" borderId="23" xfId="5" applyFont="1" applyBorder="1" applyAlignment="1">
      <alignment horizontal="center"/>
    </xf>
    <xf numFmtId="0" fontId="17" fillId="0" borderId="23" xfId="5" applyFont="1" applyBorder="1"/>
    <xf numFmtId="1" fontId="17" fillId="0" borderId="22" xfId="5" applyNumberFormat="1" applyFont="1" applyBorder="1" applyAlignment="1">
      <alignment horizontal="right"/>
    </xf>
    <xf numFmtId="0" fontId="14" fillId="4" borderId="32" xfId="2" applyFont="1" applyFill="1" applyBorder="1" applyAlignment="1">
      <alignment horizontal="center" vertical="top"/>
    </xf>
    <xf numFmtId="0" fontId="14" fillId="4" borderId="3" xfId="2" applyFont="1" applyFill="1" applyBorder="1" applyAlignment="1">
      <alignment horizontal="left" vertical="top"/>
    </xf>
    <xf numFmtId="2" fontId="17" fillId="4" borderId="3" xfId="2" applyNumberFormat="1" applyFont="1" applyFill="1" applyBorder="1"/>
    <xf numFmtId="0" fontId="17" fillId="4" borderId="3" xfId="2" applyFont="1" applyFill="1" applyBorder="1" applyAlignment="1">
      <alignment horizontal="center"/>
    </xf>
    <xf numFmtId="4" fontId="17" fillId="4" borderId="3" xfId="2" applyNumberFormat="1" applyFont="1" applyFill="1" applyBorder="1"/>
    <xf numFmtId="4" fontId="17" fillId="4" borderId="33" xfId="2" applyNumberFormat="1" applyFont="1" applyFill="1" applyBorder="1"/>
    <xf numFmtId="4" fontId="17" fillId="0" borderId="13" xfId="2" applyNumberFormat="1" applyFont="1" applyBorder="1" applyAlignment="1">
      <alignment horizontal="right"/>
    </xf>
    <xf numFmtId="1" fontId="17" fillId="6" borderId="41" xfId="2" applyNumberFormat="1" applyFont="1" applyFill="1" applyBorder="1" applyAlignment="1" applyProtection="1">
      <alignment horizontal="right" vertical="top"/>
    </xf>
    <xf numFmtId="0" fontId="14" fillId="6" borderId="42" xfId="2" applyFont="1" applyFill="1" applyBorder="1" applyAlignment="1" applyProtection="1">
      <alignment horizontal="center"/>
    </xf>
    <xf numFmtId="2" fontId="17" fillId="6" borderId="42" xfId="2" applyNumberFormat="1" applyFont="1" applyFill="1" applyBorder="1" applyAlignment="1" applyProtection="1">
      <alignment horizontal="center"/>
    </xf>
    <xf numFmtId="39" fontId="17" fillId="6" borderId="42" xfId="2" applyNumberFormat="1" applyFont="1" applyFill="1" applyBorder="1" applyProtection="1"/>
    <xf numFmtId="39" fontId="14" fillId="6" borderId="42" xfId="2" applyNumberFormat="1" applyFont="1" applyFill="1" applyBorder="1" applyProtection="1"/>
    <xf numFmtId="4" fontId="14" fillId="6" borderId="43" xfId="2" applyNumberFormat="1" applyFont="1" applyFill="1" applyBorder="1"/>
    <xf numFmtId="1" fontId="22" fillId="5" borderId="32" xfId="0" applyNumberFormat="1" applyFont="1" applyFill="1" applyBorder="1" applyAlignment="1" applyProtection="1">
      <alignment horizontal="center"/>
    </xf>
    <xf numFmtId="0" fontId="22" fillId="5" borderId="3" xfId="0" applyFont="1" applyFill="1" applyBorder="1" applyAlignment="1" applyProtection="1">
      <alignment horizontal="center"/>
    </xf>
    <xf numFmtId="4" fontId="22" fillId="5" borderId="3" xfId="0" applyNumberFormat="1" applyFont="1" applyFill="1" applyBorder="1"/>
    <xf numFmtId="0" fontId="22" fillId="5" borderId="3" xfId="0" applyFont="1" applyFill="1" applyBorder="1" applyAlignment="1">
      <alignment horizontal="center"/>
    </xf>
    <xf numFmtId="4" fontId="22" fillId="5" borderId="3" xfId="0" applyNumberFormat="1" applyFont="1" applyFill="1" applyBorder="1" applyAlignment="1">
      <alignment horizontal="center"/>
    </xf>
    <xf numFmtId="168" fontId="22" fillId="5" borderId="33" xfId="0" applyNumberFormat="1" applyFont="1" applyFill="1" applyBorder="1" applyAlignment="1">
      <alignment horizontal="center"/>
    </xf>
    <xf numFmtId="0" fontId="22" fillId="0" borderId="32" xfId="0" applyFont="1" applyBorder="1" applyAlignment="1">
      <alignment horizontal="right"/>
    </xf>
    <xf numFmtId="0" fontId="22" fillId="0" borderId="3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4" fontId="22" fillId="0" borderId="3" xfId="0" quotePrefix="1" applyNumberFormat="1" applyFont="1" applyBorder="1" applyAlignment="1"/>
    <xf numFmtId="0" fontId="22" fillId="0" borderId="3" xfId="0" applyFont="1" applyBorder="1" applyAlignment="1">
      <alignment horizontal="center"/>
    </xf>
    <xf numFmtId="4" fontId="22" fillId="0" borderId="33" xfId="0" applyNumberFormat="1" applyFont="1" applyBorder="1"/>
    <xf numFmtId="0" fontId="23" fillId="0" borderId="32" xfId="0" applyFont="1" applyBorder="1" applyAlignment="1">
      <alignment horizontal="right"/>
    </xf>
    <xf numFmtId="0" fontId="23" fillId="0" borderId="3" xfId="0" applyFont="1" applyBorder="1" applyAlignment="1">
      <alignment horizontal="left" vertical="center"/>
    </xf>
    <xf numFmtId="4" fontId="23" fillId="0" borderId="3" xfId="0" applyNumberFormat="1" applyFont="1" applyBorder="1" applyAlignment="1">
      <alignment vertical="center"/>
    </xf>
    <xf numFmtId="0" fontId="23" fillId="0" borderId="3" xfId="0" applyFont="1" applyBorder="1" applyAlignment="1">
      <alignment horizontal="center" vertical="center"/>
    </xf>
    <xf numFmtId="4" fontId="23" fillId="0" borderId="33" xfId="0" applyNumberFormat="1" applyFont="1" applyBorder="1"/>
    <xf numFmtId="0" fontId="23" fillId="0" borderId="3" xfId="0" applyFont="1" applyBorder="1" applyAlignment="1">
      <alignment vertical="center"/>
    </xf>
    <xf numFmtId="0" fontId="23" fillId="0" borderId="32" xfId="0" quotePrefix="1" applyFont="1" applyBorder="1" applyAlignment="1">
      <alignment horizontal="right"/>
    </xf>
    <xf numFmtId="4" fontId="23" fillId="0" borderId="3" xfId="0" applyNumberFormat="1" applyFont="1" applyFill="1" applyBorder="1" applyAlignment="1">
      <alignment vertical="center"/>
    </xf>
    <xf numFmtId="4" fontId="23" fillId="0" borderId="3" xfId="0" applyNumberFormat="1" applyFont="1" applyBorder="1"/>
    <xf numFmtId="0" fontId="23" fillId="0" borderId="3" xfId="0" applyFont="1" applyBorder="1" applyAlignment="1">
      <alignment horizontal="center"/>
    </xf>
    <xf numFmtId="0" fontId="4" fillId="8" borderId="0" xfId="5" applyFont="1" applyFill="1" applyBorder="1"/>
    <xf numFmtId="4" fontId="4" fillId="8" borderId="49" xfId="5" applyNumberFormat="1" applyFont="1" applyFill="1" applyBorder="1" applyAlignment="1">
      <alignment horizontal="center" vertical="center" wrapText="1"/>
    </xf>
    <xf numFmtId="0" fontId="4" fillId="8" borderId="1" xfId="5" applyFont="1" applyFill="1" applyBorder="1" applyAlignment="1">
      <alignment vertical="center" wrapText="1"/>
    </xf>
    <xf numFmtId="4" fontId="4" fillId="8" borderId="1" xfId="5" applyNumberFormat="1" applyFont="1" applyFill="1" applyBorder="1" applyAlignment="1">
      <alignment horizontal="center" vertical="center" wrapText="1"/>
    </xf>
    <xf numFmtId="4" fontId="3" fillId="8" borderId="51" xfId="5" applyNumberFormat="1" applyFont="1" applyFill="1" applyBorder="1" applyAlignment="1">
      <alignment horizontal="center" vertical="center" wrapText="1"/>
    </xf>
    <xf numFmtId="0" fontId="3" fillId="8" borderId="52" xfId="5" applyFont="1" applyFill="1" applyBorder="1" applyAlignment="1">
      <alignment horizontal="center"/>
    </xf>
    <xf numFmtId="4" fontId="7" fillId="8" borderId="53" xfId="14" quotePrefix="1" applyNumberFormat="1" applyFont="1" applyFill="1" applyBorder="1" applyAlignment="1" applyProtection="1">
      <alignment horizontal="center"/>
      <protection locked="0"/>
    </xf>
    <xf numFmtId="4" fontId="7" fillId="8" borderId="53" xfId="14" quotePrefix="1" applyNumberFormat="1" applyFont="1" applyFill="1" applyBorder="1" applyAlignment="1" applyProtection="1">
      <alignment horizontal="center" wrapText="1"/>
      <protection locked="0"/>
    </xf>
    <xf numFmtId="4" fontId="7" fillId="8" borderId="54" xfId="14" quotePrefix="1" applyNumberFormat="1" applyFont="1" applyFill="1" applyBorder="1" applyAlignment="1" applyProtection="1">
      <alignment horizontal="center"/>
      <protection locked="0"/>
    </xf>
    <xf numFmtId="4" fontId="4" fillId="8" borderId="55" xfId="5" applyNumberFormat="1" applyFont="1" applyFill="1" applyBorder="1" applyAlignment="1">
      <alignment horizontal="center" vertical="center" wrapText="1"/>
    </xf>
    <xf numFmtId="0" fontId="3" fillId="8" borderId="56" xfId="5" applyFont="1" applyFill="1" applyBorder="1" applyAlignment="1">
      <alignment vertical="center" wrapText="1"/>
    </xf>
    <xf numFmtId="4" fontId="4" fillId="8" borderId="56" xfId="5" applyNumberFormat="1" applyFont="1" applyFill="1" applyBorder="1" applyAlignment="1">
      <alignment horizontal="center" vertical="center"/>
    </xf>
    <xf numFmtId="4" fontId="4" fillId="8" borderId="57" xfId="5" applyNumberFormat="1" applyFont="1" applyFill="1" applyBorder="1" applyAlignment="1">
      <alignment horizontal="center" vertical="center"/>
    </xf>
    <xf numFmtId="4" fontId="4" fillId="8" borderId="58" xfId="5" applyNumberFormat="1" applyFont="1" applyFill="1" applyBorder="1" applyAlignment="1">
      <alignment horizontal="center" vertical="center" wrapText="1"/>
    </xf>
    <xf numFmtId="0" fontId="3" fillId="8" borderId="44" xfId="5" applyFont="1" applyFill="1" applyBorder="1" applyAlignment="1">
      <alignment horizontal="center" vertical="center" wrapText="1"/>
    </xf>
    <xf numFmtId="4" fontId="4" fillId="8" borderId="44" xfId="5" applyNumberFormat="1" applyFont="1" applyFill="1" applyBorder="1" applyAlignment="1">
      <alignment horizontal="center" vertical="center"/>
    </xf>
    <xf numFmtId="4" fontId="4" fillId="8" borderId="45" xfId="5" applyNumberFormat="1" applyFont="1" applyFill="1" applyBorder="1" applyAlignment="1">
      <alignment horizontal="center" vertical="center"/>
    </xf>
    <xf numFmtId="4" fontId="4" fillId="8" borderId="44" xfId="5" applyNumberFormat="1" applyFont="1" applyFill="1" applyBorder="1" applyAlignment="1">
      <alignment horizontal="center" vertical="center" wrapText="1"/>
    </xf>
    <xf numFmtId="0" fontId="4" fillId="8" borderId="44" xfId="5" applyFont="1" applyFill="1" applyBorder="1" applyAlignment="1">
      <alignment vertical="center" wrapText="1"/>
    </xf>
    <xf numFmtId="4" fontId="4" fillId="8" borderId="45" xfId="5" applyNumberFormat="1" applyFont="1" applyFill="1" applyBorder="1" applyAlignment="1">
      <alignment horizontal="center" vertical="center" wrapText="1"/>
    </xf>
    <xf numFmtId="4" fontId="4" fillId="8" borderId="58" xfId="5" applyNumberFormat="1" applyFont="1" applyFill="1" applyBorder="1" applyAlignment="1">
      <alignment horizontal="center" vertical="center"/>
    </xf>
    <xf numFmtId="0" fontId="4" fillId="8" borderId="44" xfId="5" applyFont="1" applyFill="1" applyBorder="1"/>
    <xf numFmtId="4" fontId="3" fillId="8" borderId="44" xfId="5" applyNumberFormat="1" applyFont="1" applyFill="1" applyBorder="1" applyAlignment="1">
      <alignment horizontal="center" vertical="center" wrapText="1"/>
    </xf>
    <xf numFmtId="4" fontId="3" fillId="8" borderId="45" xfId="5" applyNumberFormat="1" applyFont="1" applyFill="1" applyBorder="1" applyAlignment="1">
      <alignment horizontal="center" vertical="center" wrapText="1"/>
    </xf>
    <xf numFmtId="0" fontId="3" fillId="8" borderId="44" xfId="5" applyFont="1" applyFill="1" applyBorder="1" applyAlignment="1">
      <alignment vertical="center" wrapText="1"/>
    </xf>
    <xf numFmtId="4" fontId="3" fillId="8" borderId="44" xfId="14" quotePrefix="1" applyNumberFormat="1" applyFont="1" applyFill="1" applyBorder="1" applyAlignment="1" applyProtection="1">
      <alignment horizontal="center" vertical="center"/>
      <protection locked="0"/>
    </xf>
    <xf numFmtId="4" fontId="3" fillId="8" borderId="45" xfId="14" quotePrefix="1" applyNumberFormat="1" applyFont="1" applyFill="1" applyBorder="1" applyAlignment="1" applyProtection="1">
      <alignment horizontal="center" vertical="center"/>
      <protection locked="0"/>
    </xf>
    <xf numFmtId="0" fontId="4" fillId="8" borderId="1" xfId="5" applyFont="1" applyFill="1" applyBorder="1"/>
    <xf numFmtId="4" fontId="4" fillId="8" borderId="0" xfId="5" applyNumberFormat="1" applyFont="1" applyFill="1" applyBorder="1"/>
    <xf numFmtId="4" fontId="3" fillId="8" borderId="44" xfId="14" quotePrefix="1" applyNumberFormat="1" applyFont="1" applyFill="1" applyBorder="1" applyAlignment="1" applyProtection="1">
      <alignment vertical="justify"/>
      <protection locked="0"/>
    </xf>
    <xf numFmtId="4" fontId="3" fillId="8" borderId="44" xfId="14" applyNumberFormat="1" applyFont="1" applyFill="1" applyBorder="1" applyAlignment="1" applyProtection="1">
      <alignment horizontal="left" vertical="center"/>
      <protection locked="0"/>
    </xf>
    <xf numFmtId="4" fontId="4" fillId="8" borderId="44" xfId="14" quotePrefix="1" applyNumberFormat="1" applyFont="1" applyFill="1" applyBorder="1" applyAlignment="1" applyProtection="1">
      <alignment horizontal="center" vertical="center"/>
      <protection locked="0"/>
    </xf>
    <xf numFmtId="4" fontId="4" fillId="8" borderId="45" xfId="14" quotePrefix="1" applyNumberFormat="1" applyFont="1" applyFill="1" applyBorder="1" applyAlignment="1" applyProtection="1">
      <alignment horizontal="center" vertical="center"/>
      <protection locked="0"/>
    </xf>
    <xf numFmtId="4" fontId="4" fillId="8" borderId="44" xfId="14" quotePrefix="1" applyNumberFormat="1" applyFont="1" applyFill="1" applyBorder="1" applyAlignment="1" applyProtection="1">
      <alignment vertical="justify"/>
      <protection locked="0"/>
    </xf>
    <xf numFmtId="4" fontId="4" fillId="8" borderId="44" xfId="14" applyNumberFormat="1" applyFont="1" applyFill="1" applyBorder="1" applyAlignment="1" applyProtection="1">
      <alignment vertical="justify"/>
      <protection locked="0"/>
    </xf>
    <xf numFmtId="4" fontId="4" fillId="8" borderId="44" xfId="14" applyNumberFormat="1" applyFont="1" applyFill="1" applyBorder="1" applyAlignment="1" applyProtection="1">
      <alignment horizontal="center" vertical="center"/>
      <protection locked="0"/>
    </xf>
    <xf numFmtId="4" fontId="3" fillId="8" borderId="44" xfId="14" applyNumberFormat="1" applyFont="1" applyFill="1" applyBorder="1" applyAlignment="1" applyProtection="1">
      <alignment vertical="justify"/>
      <protection locked="0"/>
    </xf>
    <xf numFmtId="4" fontId="3" fillId="8" borderId="44" xfId="14" applyNumberFormat="1" applyFont="1" applyFill="1" applyBorder="1" applyAlignment="1" applyProtection="1">
      <alignment horizontal="center" vertical="center"/>
      <protection locked="0"/>
    </xf>
    <xf numFmtId="0" fontId="3" fillId="6" borderId="44" xfId="5" applyFont="1" applyFill="1" applyBorder="1" applyAlignment="1">
      <alignment horizontal="left" wrapText="1"/>
    </xf>
    <xf numFmtId="0" fontId="4" fillId="8" borderId="44" xfId="5" applyFont="1" applyFill="1" applyBorder="1" applyAlignment="1">
      <alignment horizontal="left" wrapText="1"/>
    </xf>
    <xf numFmtId="0" fontId="3" fillId="8" borderId="44" xfId="5" applyFont="1" applyFill="1" applyBorder="1" applyAlignment="1">
      <alignment wrapText="1"/>
    </xf>
    <xf numFmtId="0" fontId="4" fillId="8" borderId="44" xfId="5" applyFont="1" applyFill="1" applyBorder="1" applyAlignment="1">
      <alignment horizontal="center" vertical="center" wrapText="1"/>
    </xf>
    <xf numFmtId="4" fontId="3" fillId="8" borderId="44" xfId="5" applyNumberFormat="1" applyFont="1" applyFill="1" applyBorder="1" applyAlignment="1">
      <alignment horizontal="center" vertical="center"/>
    </xf>
    <xf numFmtId="4" fontId="3" fillId="8" borderId="45" xfId="5" applyNumberFormat="1" applyFont="1" applyFill="1" applyBorder="1" applyAlignment="1">
      <alignment horizontal="center" vertical="center"/>
    </xf>
    <xf numFmtId="4" fontId="3" fillId="0" borderId="44" xfId="5" applyNumberFormat="1" applyFont="1" applyFill="1" applyBorder="1" applyAlignment="1">
      <alignment horizontal="left" wrapText="1"/>
    </xf>
    <xf numFmtId="0" fontId="3" fillId="8" borderId="44" xfId="15" applyFont="1" applyFill="1" applyBorder="1" applyAlignment="1">
      <alignment wrapText="1"/>
    </xf>
    <xf numFmtId="0" fontId="3" fillId="8" borderId="44" xfId="5" applyFont="1" applyFill="1" applyBorder="1" applyAlignment="1">
      <alignment horizontal="left" wrapText="1"/>
    </xf>
    <xf numFmtId="0" fontId="4" fillId="8" borderId="44" xfId="5" applyFont="1" applyFill="1" applyBorder="1" applyAlignment="1">
      <alignment horizontal="center" vertical="center"/>
    </xf>
    <xf numFmtId="0" fontId="4" fillId="8" borderId="45" xfId="5" applyFont="1" applyFill="1" applyBorder="1" applyAlignment="1">
      <alignment horizontal="center" vertical="center"/>
    </xf>
    <xf numFmtId="0" fontId="3" fillId="8" borderId="44" xfId="15" applyFont="1" applyFill="1" applyBorder="1" applyAlignment="1" applyProtection="1">
      <alignment wrapText="1"/>
    </xf>
    <xf numFmtId="4" fontId="4" fillId="0" borderId="44" xfId="5" applyNumberFormat="1" applyFont="1" applyBorder="1" applyAlignment="1">
      <alignment horizontal="left"/>
    </xf>
    <xf numFmtId="4" fontId="4" fillId="0" borderId="44" xfId="5" applyNumberFormat="1" applyFont="1" applyBorder="1" applyAlignment="1">
      <alignment horizontal="center" vertical="center"/>
    </xf>
    <xf numFmtId="4" fontId="4" fillId="0" borderId="45" xfId="5" applyNumberFormat="1" applyFont="1" applyBorder="1" applyAlignment="1">
      <alignment horizontal="center" vertical="center"/>
    </xf>
    <xf numFmtId="4" fontId="3" fillId="0" borderId="44" xfId="5" applyNumberFormat="1" applyFont="1" applyBorder="1" applyAlignment="1">
      <alignment horizontal="center" vertical="center"/>
    </xf>
    <xf numFmtId="4" fontId="3" fillId="0" borderId="45" xfId="5" applyNumberFormat="1" applyFont="1" applyBorder="1" applyAlignment="1">
      <alignment horizontal="center" vertical="center"/>
    </xf>
    <xf numFmtId="170" fontId="3" fillId="6" borderId="44" xfId="5" applyNumberFormat="1" applyFont="1" applyFill="1" applyBorder="1" applyAlignment="1">
      <alignment horizontal="left" vertical="center" wrapText="1"/>
    </xf>
    <xf numFmtId="4" fontId="3" fillId="0" borderId="44" xfId="16" applyNumberFormat="1" applyFont="1" applyBorder="1" applyAlignment="1">
      <alignment wrapText="1"/>
    </xf>
    <xf numFmtId="4" fontId="4" fillId="0" borderId="44" xfId="5" applyNumberFormat="1" applyFont="1" applyFill="1" applyBorder="1" applyAlignment="1">
      <alignment horizontal="left" wrapText="1"/>
    </xf>
    <xf numFmtId="0" fontId="3" fillId="0" borderId="44" xfId="5" applyFont="1" applyFill="1" applyBorder="1" applyAlignment="1">
      <alignment horizontal="left" wrapText="1"/>
    </xf>
    <xf numFmtId="4" fontId="3" fillId="0" borderId="44" xfId="5" applyNumberFormat="1" applyFont="1" applyFill="1" applyBorder="1" applyAlignment="1">
      <alignment horizontal="left" vertical="center" wrapText="1"/>
    </xf>
    <xf numFmtId="0" fontId="8" fillId="0" borderId="59" xfId="5" applyFont="1" applyFill="1" applyBorder="1" applyAlignment="1">
      <alignment horizontal="center" vertical="center" wrapText="1"/>
    </xf>
    <xf numFmtId="0" fontId="4" fillId="0" borderId="0" xfId="5" applyFont="1" applyBorder="1" applyAlignment="1">
      <alignment horizontal="center" wrapText="1"/>
    </xf>
    <xf numFmtId="4" fontId="8" fillId="0" borderId="0" xfId="5" applyNumberFormat="1" applyFont="1" applyBorder="1" applyAlignment="1">
      <alignment horizontal="center" vertical="center"/>
    </xf>
    <xf numFmtId="4" fontId="7" fillId="0" borderId="0" xfId="5" applyNumberFormat="1" applyFont="1" applyBorder="1" applyAlignment="1">
      <alignment horizontal="right" vertical="center"/>
    </xf>
    <xf numFmtId="4" fontId="8" fillId="0" borderId="60" xfId="5" applyNumberFormat="1" applyFont="1" applyBorder="1" applyAlignment="1">
      <alignment horizontal="right" vertical="center"/>
    </xf>
    <xf numFmtId="0" fontId="8" fillId="0" borderId="0" xfId="5" applyFont="1" applyAlignment="1"/>
    <xf numFmtId="0" fontId="27" fillId="0" borderId="0" xfId="5" applyFont="1" applyBorder="1" applyAlignment="1">
      <alignment horizontal="center" wrapText="1"/>
    </xf>
    <xf numFmtId="4" fontId="8" fillId="0" borderId="0" xfId="5" applyNumberFormat="1" applyFont="1" applyBorder="1" applyAlignment="1">
      <alignment horizontal="right" vertical="center"/>
    </xf>
    <xf numFmtId="0" fontId="3" fillId="0" borderId="0" xfId="5" applyFont="1" applyBorder="1" applyAlignment="1">
      <alignment horizontal="center" wrapText="1"/>
    </xf>
    <xf numFmtId="0" fontId="7" fillId="0" borderId="59" xfId="5" applyFont="1" applyBorder="1" applyAlignment="1">
      <alignment horizontal="center" vertical="center"/>
    </xf>
    <xf numFmtId="4" fontId="4" fillId="8" borderId="0" xfId="5" applyNumberFormat="1" applyFont="1" applyFill="1" applyBorder="1" applyAlignment="1">
      <alignment horizontal="center" vertical="center"/>
    </xf>
    <xf numFmtId="0" fontId="17" fillId="0" borderId="10" xfId="2" quotePrefix="1" applyFont="1" applyBorder="1" applyAlignment="1">
      <alignment horizontal="left" wrapText="1"/>
    </xf>
    <xf numFmtId="1" fontId="22" fillId="5" borderId="28" xfId="146" applyNumberFormat="1" applyFont="1" applyFill="1" applyBorder="1" applyAlignment="1" applyProtection="1">
      <alignment horizontal="center" vertical="top"/>
    </xf>
    <xf numFmtId="0" fontId="22" fillId="5" borderId="29" xfId="146" applyFont="1" applyFill="1" applyBorder="1" applyAlignment="1" applyProtection="1">
      <alignment horizontal="center"/>
    </xf>
    <xf numFmtId="4" fontId="22" fillId="5" borderId="29" xfId="146" applyNumberFormat="1" applyFont="1" applyFill="1" applyBorder="1"/>
    <xf numFmtId="0" fontId="22" fillId="5" borderId="29" xfId="146" applyFont="1" applyFill="1" applyBorder="1" applyAlignment="1">
      <alignment horizontal="center"/>
    </xf>
    <xf numFmtId="4" fontId="22" fillId="5" borderId="29" xfId="146" applyNumberFormat="1" applyFont="1" applyFill="1" applyBorder="1" applyAlignment="1">
      <alignment horizontal="center"/>
    </xf>
    <xf numFmtId="168" fontId="22" fillId="5" borderId="30" xfId="146" applyNumberFormat="1" applyFont="1" applyFill="1" applyBorder="1" applyAlignment="1">
      <alignment horizontal="center"/>
    </xf>
    <xf numFmtId="0" fontId="23" fillId="0" borderId="9" xfId="146" applyFont="1" applyBorder="1" applyAlignment="1">
      <alignment horizontal="right" vertical="top"/>
    </xf>
    <xf numFmtId="0" fontId="23" fillId="0" borderId="10" xfId="146" quotePrefix="1" applyFont="1" applyBorder="1" applyAlignment="1">
      <alignment horizontal="left" wrapText="1"/>
    </xf>
    <xf numFmtId="4" fontId="23" fillId="0" borderId="10" xfId="146" applyNumberFormat="1" applyFont="1" applyBorder="1"/>
    <xf numFmtId="0" fontId="23" fillId="0" borderId="10" xfId="146" quotePrefix="1" applyFont="1" applyBorder="1" applyAlignment="1">
      <alignment horizontal="center"/>
    </xf>
    <xf numFmtId="4" fontId="17" fillId="0" borderId="11" xfId="146" applyNumberFormat="1" applyFont="1" applyBorder="1"/>
    <xf numFmtId="0" fontId="23" fillId="0" borderId="10" xfId="146" applyFont="1" applyBorder="1" applyAlignment="1">
      <alignment horizontal="left"/>
    </xf>
    <xf numFmtId="0" fontId="23" fillId="0" borderId="10" xfId="146" applyFont="1" applyBorder="1" applyAlignment="1">
      <alignment horizontal="center"/>
    </xf>
    <xf numFmtId="0" fontId="23" fillId="0" borderId="9" xfId="146" quotePrefix="1" applyFont="1" applyBorder="1" applyAlignment="1">
      <alignment horizontal="right" vertical="top"/>
    </xf>
    <xf numFmtId="0" fontId="23" fillId="0" borderId="22" xfId="146" quotePrefix="1" applyFont="1" applyBorder="1" applyAlignment="1">
      <alignment horizontal="right" vertical="top"/>
    </xf>
    <xf numFmtId="0" fontId="23" fillId="0" borderId="23" xfId="146" applyFont="1" applyBorder="1" applyAlignment="1">
      <alignment horizontal="left"/>
    </xf>
    <xf numFmtId="4" fontId="23" fillId="0" borderId="23" xfId="146" applyNumberFormat="1" applyFont="1" applyBorder="1"/>
    <xf numFmtId="0" fontId="23" fillId="0" borderId="23" xfId="146" applyFont="1" applyBorder="1" applyAlignment="1">
      <alignment horizontal="center"/>
    </xf>
    <xf numFmtId="4" fontId="23" fillId="0" borderId="24" xfId="146" applyNumberFormat="1" applyFont="1" applyBorder="1"/>
    <xf numFmtId="1" fontId="23" fillId="6" borderId="15" xfId="146" applyNumberFormat="1" applyFont="1" applyFill="1" applyBorder="1" applyAlignment="1" applyProtection="1">
      <alignment horizontal="right" vertical="top"/>
    </xf>
    <xf numFmtId="0" fontId="22" fillId="6" borderId="16" xfId="146" applyFont="1" applyFill="1" applyBorder="1" applyAlignment="1" applyProtection="1">
      <alignment horizontal="center"/>
    </xf>
    <xf numFmtId="39" fontId="23" fillId="6" borderId="16" xfId="146" applyNumberFormat="1" applyFont="1" applyFill="1" applyBorder="1" applyProtection="1"/>
    <xf numFmtId="39" fontId="23" fillId="6" borderId="16" xfId="146" applyNumberFormat="1" applyFont="1" applyFill="1" applyBorder="1" applyAlignment="1" applyProtection="1">
      <alignment horizontal="center"/>
    </xf>
    <xf numFmtId="39" fontId="22" fillId="6" borderId="17" xfId="146" applyNumberFormat="1" applyFont="1" applyFill="1" applyBorder="1" applyProtection="1"/>
    <xf numFmtId="0" fontId="23" fillId="0" borderId="3" xfId="5" quotePrefix="1" applyFont="1" applyBorder="1" applyAlignment="1">
      <alignment horizontal="left" vertical="top" wrapText="1"/>
    </xf>
    <xf numFmtId="0" fontId="14" fillId="7" borderId="18" xfId="2" applyFont="1" applyFill="1" applyBorder="1" applyAlignment="1">
      <alignment horizontal="right"/>
    </xf>
    <xf numFmtId="0" fontId="14" fillId="7" borderId="18" xfId="2" applyFont="1" applyFill="1" applyBorder="1" applyAlignment="1">
      <alignment horizontal="left"/>
    </xf>
    <xf numFmtId="2" fontId="17" fillId="7" borderId="18" xfId="2" applyNumberFormat="1" applyFont="1" applyFill="1" applyBorder="1"/>
    <xf numFmtId="0" fontId="21" fillId="7" borderId="18" xfId="2" applyFont="1" applyFill="1" applyBorder="1" applyAlignment="1">
      <alignment horizontal="center"/>
    </xf>
    <xf numFmtId="4" fontId="21" fillId="7" borderId="18" xfId="2" applyNumberFormat="1" applyFont="1" applyFill="1" applyBorder="1"/>
    <xf numFmtId="1" fontId="14" fillId="5" borderId="6" xfId="2" applyNumberFormat="1" applyFont="1" applyFill="1" applyBorder="1" applyAlignment="1" applyProtection="1">
      <alignment horizontal="center"/>
    </xf>
    <xf numFmtId="0" fontId="17" fillId="0" borderId="69" xfId="2" applyFont="1" applyBorder="1" applyAlignment="1">
      <alignment horizontal="right" vertical="center"/>
    </xf>
    <xf numFmtId="0" fontId="17" fillId="0" borderId="70" xfId="2" quotePrefix="1" applyFont="1" applyBorder="1" applyAlignment="1" applyProtection="1">
      <alignment horizontal="left" vertical="center"/>
    </xf>
    <xf numFmtId="2" fontId="17" fillId="0" borderId="70" xfId="2" applyNumberFormat="1" applyFont="1" applyBorder="1" applyAlignment="1" applyProtection="1">
      <alignment horizontal="right" vertical="center"/>
    </xf>
    <xf numFmtId="0" fontId="17" fillId="0" borderId="70" xfId="2" applyFont="1" applyBorder="1" applyAlignment="1" applyProtection="1">
      <alignment horizontal="center" vertical="center"/>
    </xf>
    <xf numFmtId="4" fontId="17" fillId="0" borderId="70" xfId="2" applyNumberFormat="1" applyFont="1" applyBorder="1" applyAlignment="1" applyProtection="1">
      <alignment horizontal="right" vertical="center"/>
      <protection locked="0"/>
    </xf>
    <xf numFmtId="4" fontId="17" fillId="0" borderId="71" xfId="2" applyNumberFormat="1" applyFont="1" applyBorder="1" applyAlignment="1" applyProtection="1">
      <alignment horizontal="right" vertical="center"/>
      <protection locked="0"/>
    </xf>
    <xf numFmtId="2" fontId="17" fillId="0" borderId="70" xfId="2" applyNumberFormat="1" applyFont="1" applyBorder="1" applyAlignment="1" applyProtection="1">
      <alignment horizontal="right" vertical="center"/>
      <protection locked="0"/>
    </xf>
    <xf numFmtId="0" fontId="17" fillId="0" borderId="70" xfId="2" quotePrefix="1" applyFont="1" applyBorder="1" applyAlignment="1" applyProtection="1">
      <alignment horizontal="left" vertical="center" wrapText="1"/>
    </xf>
    <xf numFmtId="0" fontId="17" fillId="0" borderId="69" xfId="2" applyFont="1" applyBorder="1" applyAlignment="1">
      <alignment vertical="center"/>
    </xf>
    <xf numFmtId="0" fontId="17" fillId="0" borderId="70" xfId="2" applyFont="1" applyBorder="1" applyAlignment="1">
      <alignment vertical="center"/>
    </xf>
    <xf numFmtId="2" fontId="17" fillId="0" borderId="70" xfId="2" applyNumberFormat="1" applyFont="1" applyBorder="1" applyAlignment="1">
      <alignment horizontal="right" vertical="center"/>
    </xf>
    <xf numFmtId="0" fontId="17" fillId="0" borderId="70" xfId="2" applyFont="1" applyBorder="1" applyAlignment="1">
      <alignment horizontal="center" vertical="center"/>
    </xf>
    <xf numFmtId="4" fontId="17" fillId="0" borderId="70" xfId="2" quotePrefix="1" applyNumberFormat="1" applyFont="1" applyBorder="1" applyAlignment="1" applyProtection="1">
      <alignment horizontal="right" vertical="center"/>
    </xf>
    <xf numFmtId="164" fontId="17" fillId="0" borderId="71" xfId="2" applyNumberFormat="1" applyFont="1" applyBorder="1" applyAlignment="1" applyProtection="1">
      <alignment horizontal="right" vertical="center"/>
      <protection locked="0"/>
    </xf>
    <xf numFmtId="1" fontId="17" fillId="6" borderId="15" xfId="2" applyNumberFormat="1" applyFont="1" applyFill="1" applyBorder="1" applyAlignment="1" applyProtection="1">
      <alignment horizontal="right"/>
    </xf>
    <xf numFmtId="2" fontId="17" fillId="0" borderId="10" xfId="6" applyNumberFormat="1" applyFont="1" applyBorder="1" applyAlignment="1">
      <alignment horizontal="right"/>
    </xf>
    <xf numFmtId="0" fontId="14" fillId="4" borderId="32" xfId="5" applyFont="1" applyFill="1" applyBorder="1" applyAlignment="1">
      <alignment horizontal="center" vertical="top"/>
    </xf>
    <xf numFmtId="0" fontId="14" fillId="4" borderId="3" xfId="5" applyFont="1" applyFill="1" applyBorder="1" applyAlignment="1">
      <alignment horizontal="left" vertical="top"/>
    </xf>
    <xf numFmtId="4" fontId="17" fillId="4" borderId="3" xfId="5" applyNumberFormat="1" applyFont="1" applyFill="1" applyBorder="1"/>
    <xf numFmtId="0" fontId="17" fillId="4" borderId="3" xfId="5" applyFont="1" applyFill="1" applyBorder="1" applyAlignment="1">
      <alignment horizontal="center"/>
    </xf>
    <xf numFmtId="4" fontId="17" fillId="4" borderId="33" xfId="5" applyNumberFormat="1" applyFont="1" applyFill="1" applyBorder="1"/>
    <xf numFmtId="0" fontId="17" fillId="0" borderId="32" xfId="5" applyFont="1" applyFill="1" applyBorder="1" applyAlignment="1">
      <alignment horizontal="center" vertical="top"/>
    </xf>
    <xf numFmtId="0" fontId="17" fillId="0" borderId="3" xfId="5" applyFont="1" applyFill="1" applyBorder="1" applyAlignment="1">
      <alignment horizontal="left" vertical="top"/>
    </xf>
    <xf numFmtId="4" fontId="17" fillId="0" borderId="3" xfId="5" applyNumberFormat="1" applyFont="1" applyFill="1" applyBorder="1"/>
    <xf numFmtId="0" fontId="17" fillId="0" borderId="3" xfId="5" applyFont="1" applyFill="1" applyBorder="1" applyAlignment="1">
      <alignment horizontal="center"/>
    </xf>
    <xf numFmtId="4" fontId="17" fillId="0" borderId="33" xfId="5" applyNumberFormat="1" applyFont="1" applyFill="1" applyBorder="1"/>
    <xf numFmtId="0" fontId="17" fillId="0" borderId="3" xfId="5" applyFont="1" applyFill="1" applyBorder="1" applyAlignment="1">
      <alignment horizontal="left" vertical="top" wrapText="1"/>
    </xf>
    <xf numFmtId="0" fontId="14" fillId="0" borderId="32" xfId="5" quotePrefix="1" applyFont="1" applyFill="1" applyBorder="1" applyAlignment="1">
      <alignment horizontal="center" vertical="top"/>
    </xf>
    <xf numFmtId="0" fontId="14" fillId="0" borderId="3" xfId="5" quotePrefix="1" applyFont="1" applyFill="1" applyBorder="1" applyAlignment="1">
      <alignment horizontal="left" vertical="top"/>
    </xf>
    <xf numFmtId="0" fontId="14" fillId="0" borderId="3" xfId="5" applyFont="1" applyFill="1" applyBorder="1" applyAlignment="1">
      <alignment horizontal="left"/>
    </xf>
    <xf numFmtId="4" fontId="14" fillId="0" borderId="3" xfId="5" quotePrefix="1" applyNumberFormat="1" applyFont="1" applyFill="1" applyBorder="1" applyAlignment="1"/>
    <xf numFmtId="0" fontId="14" fillId="0" borderId="3" xfId="5" quotePrefix="1" applyFont="1" applyFill="1" applyBorder="1" applyAlignment="1">
      <alignment horizontal="center"/>
    </xf>
    <xf numFmtId="4" fontId="14" fillId="0" borderId="33" xfId="5" applyNumberFormat="1" applyFont="1" applyFill="1" applyBorder="1"/>
    <xf numFmtId="1" fontId="17" fillId="6" borderId="34" xfId="5" applyNumberFormat="1" applyFont="1" applyFill="1" applyBorder="1" applyAlignment="1" applyProtection="1">
      <alignment horizontal="center" vertical="top"/>
    </xf>
    <xf numFmtId="0" fontId="14" fillId="6" borderId="5" xfId="5" applyFont="1" applyFill="1" applyBorder="1" applyAlignment="1" applyProtection="1">
      <alignment horizontal="center" vertical="top"/>
    </xf>
    <xf numFmtId="39" fontId="17" fillId="6" borderId="5" xfId="5" applyNumberFormat="1" applyFont="1" applyFill="1" applyBorder="1" applyProtection="1"/>
    <xf numFmtId="39" fontId="17" fillId="6" borderId="5" xfId="5" applyNumberFormat="1" applyFont="1" applyFill="1" applyBorder="1" applyAlignment="1" applyProtection="1">
      <alignment horizontal="center"/>
    </xf>
    <xf numFmtId="39" fontId="14" fillId="6" borderId="35" xfId="5" applyNumberFormat="1" applyFont="1" applyFill="1" applyBorder="1" applyProtection="1"/>
    <xf numFmtId="0" fontId="22" fillId="4" borderId="32" xfId="5" applyFont="1" applyFill="1" applyBorder="1" applyAlignment="1">
      <alignment horizontal="center" vertical="top"/>
    </xf>
    <xf numFmtId="0" fontId="22" fillId="4" borderId="3" xfId="5" applyFont="1" applyFill="1" applyBorder="1" applyAlignment="1">
      <alignment horizontal="left" vertical="top"/>
    </xf>
    <xf numFmtId="4" fontId="23" fillId="4" borderId="3" xfId="5" applyNumberFormat="1" applyFont="1" applyFill="1" applyBorder="1"/>
    <xf numFmtId="0" fontId="23" fillId="4" borderId="3" xfId="5" applyFont="1" applyFill="1" applyBorder="1" applyAlignment="1">
      <alignment horizontal="center"/>
    </xf>
    <xf numFmtId="4" fontId="23" fillId="4" borderId="33" xfId="5" applyNumberFormat="1" applyFont="1" applyFill="1" applyBorder="1"/>
    <xf numFmtId="0" fontId="17" fillId="0" borderId="3" xfId="5" quotePrefix="1" applyFont="1" applyBorder="1" applyAlignment="1">
      <alignment horizontal="left" vertical="top"/>
    </xf>
    <xf numFmtId="0" fontId="23" fillId="0" borderId="3" xfId="5" quotePrefix="1" applyFont="1" applyBorder="1" applyAlignment="1">
      <alignment horizontal="center"/>
    </xf>
    <xf numFmtId="0" fontId="14" fillId="7" borderId="18" xfId="5" applyFont="1" applyFill="1" applyBorder="1" applyAlignment="1">
      <alignment horizontal="right"/>
    </xf>
    <xf numFmtId="0" fontId="14" fillId="7" borderId="18" xfId="5" applyFont="1" applyFill="1" applyBorder="1"/>
    <xf numFmtId="0" fontId="21" fillId="7" borderId="18" xfId="5" applyFont="1" applyFill="1" applyBorder="1" applyAlignment="1">
      <alignment horizontal="left"/>
    </xf>
    <xf numFmtId="4" fontId="20" fillId="7" borderId="18" xfId="5" quotePrefix="1" applyNumberFormat="1" applyFont="1" applyFill="1" applyBorder="1" applyAlignment="1"/>
    <xf numFmtId="0" fontId="20" fillId="7" borderId="18" xfId="5" applyFont="1" applyFill="1" applyBorder="1" applyAlignment="1">
      <alignment horizontal="center"/>
    </xf>
    <xf numFmtId="4" fontId="20" fillId="7" borderId="18" xfId="5" applyNumberFormat="1" applyFont="1" applyFill="1" applyBorder="1"/>
    <xf numFmtId="0" fontId="17" fillId="0" borderId="9" xfId="5" quotePrefix="1" applyFont="1" applyBorder="1" applyAlignment="1">
      <alignment horizontal="right" vertical="top"/>
    </xf>
    <xf numFmtId="0" fontId="17" fillId="0" borderId="10" xfId="5" quotePrefix="1" applyFont="1" applyBorder="1" applyAlignment="1">
      <alignment horizontal="left" wrapText="1"/>
    </xf>
    <xf numFmtId="4" fontId="17" fillId="0" borderId="10" xfId="5" applyNumberFormat="1" applyFont="1" applyBorder="1"/>
    <xf numFmtId="0" fontId="17" fillId="0" borderId="10" xfId="5" quotePrefix="1" applyFont="1" applyBorder="1" applyAlignment="1">
      <alignment horizontal="center"/>
    </xf>
    <xf numFmtId="0" fontId="17" fillId="0" borderId="9" xfId="5" applyFont="1" applyBorder="1" applyAlignment="1">
      <alignment horizontal="right"/>
    </xf>
    <xf numFmtId="0" fontId="17" fillId="0" borderId="10" xfId="5" applyFont="1" applyBorder="1" applyAlignment="1">
      <alignment horizontal="left"/>
    </xf>
    <xf numFmtId="0" fontId="17" fillId="0" borderId="10" xfId="5" applyFont="1" applyBorder="1" applyAlignment="1">
      <alignment horizontal="center"/>
    </xf>
    <xf numFmtId="0" fontId="17" fillId="0" borderId="9" xfId="5" quotePrefix="1" applyFont="1" applyBorder="1" applyAlignment="1">
      <alignment horizontal="right"/>
    </xf>
    <xf numFmtId="0" fontId="17" fillId="0" borderId="12" xfId="5" applyFont="1" applyBorder="1" applyAlignment="1">
      <alignment horizontal="right"/>
    </xf>
    <xf numFmtId="0" fontId="17" fillId="0" borderId="13" xfId="5" applyFont="1" applyBorder="1" applyAlignment="1">
      <alignment horizontal="left"/>
    </xf>
    <xf numFmtId="4" fontId="17" fillId="0" borderId="13" xfId="5" applyNumberFormat="1" applyFont="1" applyBorder="1"/>
    <xf numFmtId="0" fontId="17" fillId="0" borderId="13" xfId="5" applyFont="1" applyBorder="1" applyAlignment="1">
      <alignment horizontal="center"/>
    </xf>
    <xf numFmtId="0" fontId="21" fillId="0" borderId="12" xfId="5" quotePrefix="1" applyFont="1" applyBorder="1" applyAlignment="1">
      <alignment horizontal="right"/>
    </xf>
    <xf numFmtId="0" fontId="21" fillId="0" borderId="13" xfId="5" applyFont="1" applyBorder="1" applyAlignment="1">
      <alignment horizontal="left"/>
    </xf>
    <xf numFmtId="4" fontId="21" fillId="0" borderId="13" xfId="5" applyNumberFormat="1" applyFont="1" applyBorder="1"/>
    <xf numFmtId="0" fontId="21" fillId="0" borderId="13" xfId="5" applyFont="1" applyBorder="1" applyAlignment="1">
      <alignment horizontal="center"/>
    </xf>
    <xf numFmtId="4" fontId="21" fillId="0" borderId="14" xfId="5" applyNumberFormat="1" applyFont="1" applyBorder="1"/>
    <xf numFmtId="1" fontId="14" fillId="4" borderId="32" xfId="5" applyNumberFormat="1" applyFont="1" applyFill="1" applyBorder="1" applyAlignment="1">
      <alignment horizontal="center" vertical="top"/>
    </xf>
    <xf numFmtId="4" fontId="17" fillId="4" borderId="3" xfId="5" applyNumberFormat="1" applyFont="1" applyFill="1" applyBorder="1" applyAlignment="1">
      <alignment horizontal="right"/>
    </xf>
    <xf numFmtId="4" fontId="14" fillId="4" borderId="33" xfId="5" applyNumberFormat="1" applyFont="1" applyFill="1" applyBorder="1"/>
    <xf numFmtId="1" fontId="14" fillId="0" borderId="32" xfId="5" applyNumberFormat="1" applyFont="1" applyBorder="1" applyAlignment="1">
      <alignment horizontal="center" vertical="top"/>
    </xf>
    <xf numFmtId="0" fontId="14" fillId="0" borderId="3" xfId="5" applyFont="1" applyBorder="1" applyAlignment="1">
      <alignment horizontal="left" vertical="top"/>
    </xf>
    <xf numFmtId="4" fontId="17" fillId="0" borderId="3" xfId="5" applyNumberFormat="1" applyFont="1" applyBorder="1" applyAlignment="1">
      <alignment horizontal="right"/>
    </xf>
    <xf numFmtId="0" fontId="17" fillId="0" borderId="3" xfId="5" applyFont="1" applyBorder="1" applyAlignment="1">
      <alignment horizontal="center"/>
    </xf>
    <xf numFmtId="4" fontId="14" fillId="0" borderId="33" xfId="5" applyNumberFormat="1" applyFont="1" applyBorder="1"/>
    <xf numFmtId="0" fontId="17" fillId="0" borderId="32" xfId="5" applyFont="1" applyBorder="1" applyAlignment="1">
      <alignment horizontal="center" vertical="top"/>
    </xf>
    <xf numFmtId="4" fontId="17" fillId="0" borderId="3" xfId="5" applyNumberFormat="1" applyFont="1" applyBorder="1"/>
    <xf numFmtId="4" fontId="17" fillId="0" borderId="3" xfId="5" applyNumberFormat="1" applyFont="1" applyBorder="1" applyAlignment="1">
      <alignment horizontal="center"/>
    </xf>
    <xf numFmtId="166" fontId="17" fillId="0" borderId="3" xfId="5" applyNumberFormat="1" applyFont="1" applyBorder="1"/>
    <xf numFmtId="4" fontId="17" fillId="0" borderId="33" xfId="5" applyNumberFormat="1" applyFont="1" applyBorder="1"/>
    <xf numFmtId="0" fontId="17" fillId="0" borderId="3" xfId="5" applyFont="1" applyBorder="1" applyAlignment="1">
      <alignment vertical="top" wrapText="1"/>
    </xf>
    <xf numFmtId="0" fontId="20" fillId="0" borderId="32" xfId="5" applyFont="1" applyBorder="1" applyAlignment="1">
      <alignment horizontal="center" vertical="top"/>
    </xf>
    <xf numFmtId="0" fontId="21" fillId="0" borderId="3" xfId="5" applyFont="1" applyBorder="1" applyAlignment="1">
      <alignment vertical="top"/>
    </xf>
    <xf numFmtId="4" fontId="21" fillId="0" borderId="3" xfId="5" applyNumberFormat="1" applyFont="1" applyBorder="1"/>
    <xf numFmtId="0" fontId="21" fillId="0" borderId="3" xfId="5" applyFont="1" applyBorder="1" applyAlignment="1">
      <alignment horizontal="center"/>
    </xf>
    <xf numFmtId="4" fontId="21" fillId="0" borderId="33" xfId="5" applyNumberFormat="1" applyFont="1" applyBorder="1"/>
    <xf numFmtId="1" fontId="20" fillId="6" borderId="34" xfId="5" applyNumberFormat="1" applyFont="1" applyFill="1" applyBorder="1" applyAlignment="1" applyProtection="1">
      <alignment horizontal="center" vertical="top"/>
    </xf>
    <xf numFmtId="39" fontId="20" fillId="6" borderId="5" xfId="5" applyNumberFormat="1" applyFont="1" applyFill="1" applyBorder="1" applyProtection="1"/>
    <xf numFmtId="39" fontId="20" fillId="6" borderId="5" xfId="5" applyNumberFormat="1" applyFont="1" applyFill="1" applyBorder="1" applyAlignment="1" applyProtection="1">
      <alignment horizontal="center"/>
    </xf>
    <xf numFmtId="0" fontId="14" fillId="4" borderId="18" xfId="5" applyFont="1" applyFill="1" applyBorder="1" applyAlignment="1">
      <alignment horizontal="right"/>
    </xf>
    <xf numFmtId="0" fontId="17" fillId="4" borderId="18" xfId="5" applyFont="1" applyFill="1" applyBorder="1" applyAlignment="1">
      <alignment horizontal="left"/>
    </xf>
    <xf numFmtId="4" fontId="17" fillId="4" borderId="18" xfId="5" quotePrefix="1" applyNumberFormat="1" applyFont="1" applyFill="1" applyBorder="1" applyAlignment="1"/>
    <xf numFmtId="0" fontId="17" fillId="4" borderId="18" xfId="5" quotePrefix="1" applyFont="1" applyFill="1" applyBorder="1" applyAlignment="1">
      <alignment horizontal="center"/>
    </xf>
    <xf numFmtId="4" fontId="17" fillId="4" borderId="18" xfId="5" applyNumberFormat="1" applyFont="1" applyFill="1" applyBorder="1"/>
    <xf numFmtId="0" fontId="17" fillId="0" borderId="10" xfId="5" quotePrefix="1" applyFont="1" applyBorder="1" applyAlignment="1">
      <alignment horizontal="left"/>
    </xf>
    <xf numFmtId="0" fontId="17" fillId="0" borderId="12" xfId="5" quotePrefix="1" applyFont="1" applyBorder="1" applyAlignment="1">
      <alignment horizontal="right"/>
    </xf>
    <xf numFmtId="0" fontId="17" fillId="0" borderId="13" xfId="5" quotePrefix="1" applyFont="1" applyBorder="1" applyAlignment="1">
      <alignment horizontal="center"/>
    </xf>
    <xf numFmtId="4" fontId="17" fillId="0" borderId="14" xfId="5" applyNumberFormat="1" applyFont="1" applyBorder="1"/>
    <xf numFmtId="1" fontId="14" fillId="6" borderId="15" xfId="5" applyNumberFormat="1" applyFont="1" applyFill="1" applyBorder="1" applyAlignment="1" applyProtection="1">
      <alignment horizontal="right"/>
    </xf>
    <xf numFmtId="39" fontId="14" fillId="6" borderId="16" xfId="5" applyNumberFormat="1" applyFont="1" applyFill="1" applyBorder="1" applyProtection="1"/>
    <xf numFmtId="39" fontId="14" fillId="6" borderId="16" xfId="5" applyNumberFormat="1" applyFont="1" applyFill="1" applyBorder="1" applyAlignment="1" applyProtection="1">
      <alignment horizontal="center"/>
    </xf>
    <xf numFmtId="0" fontId="14" fillId="4" borderId="18" xfId="2" applyFont="1" applyFill="1" applyBorder="1" applyAlignment="1">
      <alignment horizontal="right" vertical="top"/>
    </xf>
    <xf numFmtId="2" fontId="21" fillId="4" borderId="18" xfId="2" applyNumberFormat="1" applyFont="1" applyFill="1" applyBorder="1"/>
    <xf numFmtId="0" fontId="21" fillId="4" borderId="18" xfId="2" applyFont="1" applyFill="1" applyBorder="1" applyAlignment="1">
      <alignment horizontal="center"/>
    </xf>
    <xf numFmtId="4" fontId="21" fillId="4" borderId="18" xfId="2" applyNumberFormat="1" applyFont="1" applyFill="1" applyBorder="1"/>
    <xf numFmtId="0" fontId="14" fillId="0" borderId="12" xfId="2" quotePrefix="1" applyFont="1" applyBorder="1" applyAlignment="1">
      <alignment horizontal="right" vertical="top"/>
    </xf>
    <xf numFmtId="0" fontId="14" fillId="0" borderId="13" xfId="2" quotePrefix="1" applyFont="1" applyBorder="1" applyAlignment="1">
      <alignment horizontal="left"/>
    </xf>
    <xf numFmtId="2" fontId="14" fillId="0" borderId="13" xfId="2" applyNumberFormat="1" applyFont="1" applyBorder="1" applyAlignment="1">
      <alignment horizontal="left"/>
    </xf>
    <xf numFmtId="0" fontId="14" fillId="0" borderId="13" xfId="2" quotePrefix="1" applyFont="1" applyBorder="1" applyAlignment="1">
      <alignment horizontal="center"/>
    </xf>
    <xf numFmtId="1" fontId="14" fillId="5" borderId="36" xfId="146" applyNumberFormat="1" applyFont="1" applyFill="1" applyBorder="1" applyAlignment="1" applyProtection="1">
      <alignment horizontal="center" vertical="top"/>
    </xf>
    <xf numFmtId="0" fontId="14" fillId="5" borderId="37" xfId="146" applyFont="1" applyFill="1" applyBorder="1" applyAlignment="1" applyProtection="1">
      <alignment horizontal="center" vertical="top"/>
    </xf>
    <xf numFmtId="4" fontId="14" fillId="5" borderId="37" xfId="146" applyNumberFormat="1" applyFont="1" applyFill="1" applyBorder="1"/>
    <xf numFmtId="0" fontId="14" fillId="5" borderId="37" xfId="146" applyFont="1" applyFill="1" applyBorder="1" applyAlignment="1">
      <alignment horizontal="center"/>
    </xf>
    <xf numFmtId="4" fontId="14" fillId="5" borderId="37" xfId="146" applyNumberFormat="1" applyFont="1" applyFill="1" applyBorder="1" applyAlignment="1">
      <alignment horizontal="center"/>
    </xf>
    <xf numFmtId="168" fontId="14" fillId="5" borderId="38" xfId="146" applyNumberFormat="1" applyFont="1" applyFill="1" applyBorder="1" applyAlignment="1">
      <alignment horizontal="center"/>
    </xf>
    <xf numFmtId="0" fontId="14" fillId="0" borderId="32" xfId="146" applyFont="1" applyBorder="1" applyAlignment="1">
      <alignment horizontal="center" vertical="top"/>
    </xf>
    <xf numFmtId="0" fontId="17" fillId="0" borderId="3" xfId="146" applyFont="1" applyBorder="1" applyAlignment="1">
      <alignment horizontal="left" vertical="top" wrapText="1"/>
    </xf>
    <xf numFmtId="4" fontId="17" fillId="0" borderId="3" xfId="146" applyNumberFormat="1" applyFont="1" applyBorder="1"/>
    <xf numFmtId="0" fontId="17" fillId="0" borderId="3" xfId="146" applyFont="1" applyBorder="1" applyAlignment="1">
      <alignment horizontal="center"/>
    </xf>
    <xf numFmtId="4" fontId="17" fillId="0" borderId="33" xfId="146" applyNumberFormat="1" applyFont="1" applyBorder="1"/>
    <xf numFmtId="0" fontId="17" fillId="0" borderId="32" xfId="146" applyFont="1" applyBorder="1" applyAlignment="1">
      <alignment horizontal="center" vertical="top"/>
    </xf>
    <xf numFmtId="0" fontId="17" fillId="0" borderId="3" xfId="146" applyFont="1" applyBorder="1" applyAlignment="1" applyProtection="1">
      <alignment horizontal="left" vertical="top"/>
    </xf>
    <xf numFmtId="2" fontId="17" fillId="0" borderId="3" xfId="146" applyNumberFormat="1" applyFont="1" applyBorder="1" applyAlignment="1" applyProtection="1">
      <alignment horizontal="right" vertical="center"/>
      <protection locked="0"/>
    </xf>
    <xf numFmtId="0" fontId="17" fillId="0" borderId="3" xfId="146" applyFont="1" applyBorder="1" applyAlignment="1" applyProtection="1">
      <alignment horizontal="center" vertical="center"/>
    </xf>
    <xf numFmtId="4" fontId="17" fillId="0" borderId="3" xfId="146" applyNumberFormat="1" applyFont="1" applyBorder="1" applyAlignment="1" applyProtection="1">
      <alignment horizontal="right" vertical="center"/>
      <protection locked="0"/>
    </xf>
    <xf numFmtId="1" fontId="17" fillId="6" borderId="34" xfId="146" applyNumberFormat="1" applyFont="1" applyFill="1" applyBorder="1" applyAlignment="1" applyProtection="1">
      <alignment horizontal="center" vertical="top"/>
    </xf>
    <xf numFmtId="0" fontId="14" fillId="6" borderId="5" xfId="146" applyFont="1" applyFill="1" applyBorder="1" applyAlignment="1" applyProtection="1">
      <alignment horizontal="center" vertical="top"/>
    </xf>
    <xf numFmtId="39" fontId="17" fillId="6" borderId="5" xfId="146" applyNumberFormat="1" applyFont="1" applyFill="1" applyBorder="1" applyProtection="1"/>
    <xf numFmtId="39" fontId="17" fillId="6" borderId="5" xfId="146" applyNumberFormat="1" applyFont="1" applyFill="1" applyBorder="1" applyAlignment="1" applyProtection="1">
      <alignment horizontal="center"/>
    </xf>
    <xf numFmtId="39" fontId="14" fillId="6" borderId="35" xfId="146" applyNumberFormat="1" applyFont="1" applyFill="1" applyBorder="1" applyProtection="1"/>
    <xf numFmtId="1" fontId="14" fillId="5" borderId="28" xfId="146" applyNumberFormat="1" applyFont="1" applyFill="1" applyBorder="1" applyAlignment="1" applyProtection="1">
      <alignment horizontal="center" vertical="top"/>
    </xf>
    <xf numFmtId="0" fontId="14" fillId="5" borderId="29" xfId="146" applyFont="1" applyFill="1" applyBorder="1" applyAlignment="1" applyProtection="1">
      <alignment horizontal="center" vertical="top"/>
    </xf>
    <xf numFmtId="4" fontId="14" fillId="5" borderId="29" xfId="146" applyNumberFormat="1" applyFont="1" applyFill="1" applyBorder="1"/>
    <xf numFmtId="0" fontId="14" fillId="5" borderId="29" xfId="146" applyFont="1" applyFill="1" applyBorder="1" applyAlignment="1">
      <alignment horizontal="center"/>
    </xf>
    <xf numFmtId="4" fontId="14" fillId="5" borderId="29" xfId="146" applyNumberFormat="1" applyFont="1" applyFill="1" applyBorder="1" applyAlignment="1">
      <alignment horizontal="center"/>
    </xf>
    <xf numFmtId="168" fontId="14" fillId="5" borderId="30" xfId="146" applyNumberFormat="1" applyFont="1" applyFill="1" applyBorder="1" applyAlignment="1">
      <alignment horizontal="center"/>
    </xf>
    <xf numFmtId="0" fontId="22" fillId="0" borderId="9" xfId="146" applyFont="1" applyBorder="1" applyAlignment="1">
      <alignment horizontal="center" vertical="top"/>
    </xf>
    <xf numFmtId="0" fontId="22" fillId="0" borderId="10" xfId="146" applyFont="1" applyBorder="1" applyAlignment="1">
      <alignment horizontal="left" vertical="top" wrapText="1"/>
    </xf>
    <xf numFmtId="4" fontId="23" fillId="0" borderId="11" xfId="146" applyNumberFormat="1" applyFont="1" applyBorder="1"/>
    <xf numFmtId="0" fontId="23" fillId="0" borderId="9" xfId="146" applyFont="1" applyBorder="1" applyAlignment="1">
      <alignment horizontal="center" vertical="top"/>
    </xf>
    <xf numFmtId="0" fontId="17" fillId="0" borderId="10" xfId="146" quotePrefix="1" applyFont="1" applyBorder="1" applyAlignment="1">
      <alignment horizontal="left" vertical="top"/>
    </xf>
    <xf numFmtId="0" fontId="23" fillId="0" borderId="10" xfId="146" applyFont="1" applyBorder="1" applyAlignment="1">
      <alignment horizontal="left" vertical="top"/>
    </xf>
    <xf numFmtId="0" fontId="23" fillId="0" borderId="10" xfId="146" applyFont="1" applyBorder="1" applyAlignment="1">
      <alignment horizontal="left" vertical="top" wrapText="1"/>
    </xf>
    <xf numFmtId="0" fontId="17" fillId="0" borderId="9" xfId="2" applyFont="1" applyBorder="1" applyAlignment="1">
      <alignment horizontal="right"/>
    </xf>
    <xf numFmtId="0" fontId="17" fillId="0" borderId="72" xfId="2" applyFont="1" applyBorder="1" applyAlignment="1">
      <alignment horizontal="right"/>
    </xf>
    <xf numFmtId="0" fontId="17" fillId="0" borderId="0" xfId="2" applyFont="1" applyBorder="1" applyAlignment="1">
      <alignment horizontal="left"/>
    </xf>
    <xf numFmtId="2" fontId="17" fillId="0" borderId="0" xfId="2" applyNumberFormat="1" applyFont="1" applyBorder="1"/>
    <xf numFmtId="0" fontId="17" fillId="0" borderId="0" xfId="2" applyFont="1" applyBorder="1" applyAlignment="1">
      <alignment horizontal="center"/>
    </xf>
    <xf numFmtId="4" fontId="17" fillId="0" borderId="0" xfId="2" applyNumberFormat="1" applyFont="1" applyBorder="1"/>
    <xf numFmtId="4" fontId="17" fillId="0" borderId="73" xfId="2" applyNumberFormat="1" applyFont="1" applyBorder="1"/>
    <xf numFmtId="1" fontId="23" fillId="6" borderId="15" xfId="146" applyNumberFormat="1" applyFont="1" applyFill="1" applyBorder="1" applyAlignment="1" applyProtection="1">
      <alignment horizontal="center" vertical="top"/>
    </xf>
    <xf numFmtId="0" fontId="22" fillId="6" borderId="16" xfId="146" applyFont="1" applyFill="1" applyBorder="1" applyAlignment="1" applyProtection="1">
      <alignment horizontal="center" vertical="top"/>
    </xf>
    <xf numFmtId="0" fontId="14" fillId="7" borderId="32" xfId="5" applyFont="1" applyFill="1" applyBorder="1" applyAlignment="1">
      <alignment horizontal="center" vertical="top"/>
    </xf>
    <xf numFmtId="0" fontId="14" fillId="7" borderId="3" xfId="5" applyFont="1" applyFill="1" applyBorder="1" applyAlignment="1">
      <alignment horizontal="left" vertical="top"/>
    </xf>
    <xf numFmtId="4" fontId="17" fillId="7" borderId="3" xfId="5" applyNumberFormat="1" applyFont="1" applyFill="1" applyBorder="1"/>
    <xf numFmtId="0" fontId="17" fillId="7" borderId="3" xfId="5" applyFont="1" applyFill="1" applyBorder="1" applyAlignment="1">
      <alignment horizontal="center"/>
    </xf>
    <xf numFmtId="4" fontId="17" fillId="7" borderId="33" xfId="5" applyNumberFormat="1" applyFont="1" applyFill="1" applyBorder="1"/>
    <xf numFmtId="0" fontId="17" fillId="0" borderId="3" xfId="5" applyFont="1" applyFill="1" applyBorder="1" applyAlignment="1">
      <alignment vertical="top"/>
    </xf>
    <xf numFmtId="0" fontId="17" fillId="0" borderId="32" xfId="5" quotePrefix="1" applyFont="1" applyFill="1" applyBorder="1" applyAlignment="1">
      <alignment horizontal="center" vertical="top"/>
    </xf>
    <xf numFmtId="2" fontId="17" fillId="6" borderId="16" xfId="2" applyNumberFormat="1" applyFont="1" applyFill="1" applyBorder="1" applyAlignment="1" applyProtection="1">
      <alignment horizontal="right"/>
    </xf>
    <xf numFmtId="39" fontId="14" fillId="6" borderId="17" xfId="2" applyNumberFormat="1" applyFont="1" applyFill="1" applyBorder="1" applyAlignment="1" applyProtection="1">
      <alignment horizontal="right"/>
    </xf>
    <xf numFmtId="2" fontId="17" fillId="4" borderId="18" xfId="2" applyNumberFormat="1" applyFont="1" applyFill="1" applyBorder="1" applyAlignment="1">
      <alignment horizontal="left"/>
    </xf>
    <xf numFmtId="4" fontId="17" fillId="4" borderId="18" xfId="2" applyNumberFormat="1" applyFont="1" applyFill="1" applyBorder="1"/>
    <xf numFmtId="4" fontId="14" fillId="4" borderId="18" xfId="2" quotePrefix="1" applyNumberFormat="1" applyFont="1" applyFill="1" applyBorder="1" applyAlignment="1">
      <alignment horizontal="right"/>
    </xf>
    <xf numFmtId="0" fontId="17" fillId="0" borderId="13" xfId="2" applyFont="1" applyBorder="1"/>
    <xf numFmtId="2" fontId="17" fillId="0" borderId="13" xfId="2" applyNumberFormat="1" applyFont="1" applyBorder="1" applyAlignment="1">
      <alignment horizontal="right"/>
    </xf>
    <xf numFmtId="4" fontId="17" fillId="0" borderId="14" xfId="2" applyNumberFormat="1" applyFont="1" applyBorder="1" applyAlignment="1">
      <alignment horizontal="right"/>
    </xf>
    <xf numFmtId="0" fontId="14" fillId="4" borderId="18" xfId="5" applyFont="1" applyFill="1" applyBorder="1" applyAlignment="1">
      <alignment horizontal="left"/>
    </xf>
    <xf numFmtId="4" fontId="17" fillId="4" borderId="18" xfId="5" applyNumberFormat="1" applyFont="1" applyFill="1" applyBorder="1" applyAlignment="1">
      <alignment horizontal="right"/>
    </xf>
    <xf numFmtId="0" fontId="17" fillId="0" borderId="10" xfId="5" applyFont="1" applyBorder="1"/>
    <xf numFmtId="4" fontId="17" fillId="0" borderId="10" xfId="5" applyNumberFormat="1" applyFont="1" applyBorder="1" applyAlignment="1">
      <alignment horizontal="right"/>
    </xf>
    <xf numFmtId="4" fontId="17" fillId="0" borderId="11" xfId="5" applyNumberFormat="1" applyFont="1" applyBorder="1" applyAlignment="1">
      <alignment horizontal="right"/>
    </xf>
    <xf numFmtId="0" fontId="17" fillId="0" borderId="23" xfId="147" applyFont="1" applyBorder="1" applyAlignment="1" applyProtection="1">
      <alignment horizontal="left" vertical="center"/>
    </xf>
    <xf numFmtId="177" fontId="17" fillId="0" borderId="23" xfId="147" applyNumberFormat="1" applyFont="1" applyBorder="1" applyAlignment="1" applyProtection="1">
      <alignment horizontal="right" vertical="center"/>
      <protection locked="0"/>
    </xf>
    <xf numFmtId="0" fontId="17" fillId="0" borderId="23" xfId="147" applyFont="1" applyBorder="1" applyAlignment="1" applyProtection="1">
      <alignment horizontal="center" vertical="center"/>
    </xf>
    <xf numFmtId="4" fontId="17" fillId="0" borderId="23" xfId="147" applyNumberFormat="1" applyFont="1" applyBorder="1" applyAlignment="1" applyProtection="1">
      <alignment horizontal="right" vertical="center"/>
    </xf>
    <xf numFmtId="0" fontId="17" fillId="0" borderId="13" xfId="5" applyFont="1" applyBorder="1"/>
    <xf numFmtId="4" fontId="17" fillId="0" borderId="13" xfId="5" applyNumberFormat="1" applyFont="1" applyBorder="1" applyAlignment="1">
      <alignment horizontal="right"/>
    </xf>
    <xf numFmtId="4" fontId="17" fillId="0" borderId="14" xfId="5" applyNumberFormat="1" applyFont="1" applyBorder="1" applyAlignment="1">
      <alignment horizontal="right"/>
    </xf>
    <xf numFmtId="39" fontId="17" fillId="6" borderId="16" xfId="5" applyNumberFormat="1" applyFont="1" applyFill="1" applyBorder="1" applyAlignment="1" applyProtection="1">
      <alignment horizontal="right"/>
    </xf>
    <xf numFmtId="39" fontId="14" fillId="6" borderId="17" xfId="5" applyNumberFormat="1" applyFont="1" applyFill="1" applyBorder="1" applyAlignment="1" applyProtection="1">
      <alignment horizontal="right"/>
    </xf>
    <xf numFmtId="4" fontId="14" fillId="4" borderId="18" xfId="5" applyNumberFormat="1" applyFont="1" applyFill="1" applyBorder="1" applyAlignment="1">
      <alignment horizontal="right"/>
    </xf>
    <xf numFmtId="0" fontId="17" fillId="0" borderId="22" xfId="5" applyFont="1" applyBorder="1" applyAlignment="1">
      <alignment horizontal="right"/>
    </xf>
    <xf numFmtId="0" fontId="17" fillId="0" borderId="23" xfId="147" quotePrefix="1" applyFont="1" applyBorder="1" applyAlignment="1" applyProtection="1">
      <alignment horizontal="left" vertical="center"/>
    </xf>
    <xf numFmtId="2" fontId="17" fillId="0" borderId="23" xfId="147" applyNumberFormat="1" applyFont="1" applyBorder="1" applyAlignment="1" applyProtection="1">
      <alignment horizontal="right" vertical="center"/>
      <protection locked="0"/>
    </xf>
    <xf numFmtId="0" fontId="17" fillId="0" borderId="23" xfId="5" quotePrefix="1" applyFont="1" applyBorder="1" applyAlignment="1">
      <alignment horizontal="center"/>
    </xf>
    <xf numFmtId="4" fontId="17" fillId="0" borderId="24" xfId="5" applyNumberFormat="1" applyFont="1" applyBorder="1"/>
    <xf numFmtId="2" fontId="17" fillId="0" borderId="23" xfId="147" applyNumberFormat="1" applyFont="1" applyBorder="1" applyAlignment="1" applyProtection="1">
      <alignment horizontal="right" vertical="center"/>
    </xf>
    <xf numFmtId="0" fontId="17" fillId="0" borderId="22" xfId="5" quotePrefix="1" applyFont="1" applyBorder="1" applyAlignment="1">
      <alignment horizontal="right"/>
    </xf>
    <xf numFmtId="0" fontId="17" fillId="0" borderId="23" xfId="5" applyFont="1" applyBorder="1" applyAlignment="1">
      <alignment horizontal="left"/>
    </xf>
    <xf numFmtId="4" fontId="17" fillId="0" borderId="23" xfId="5" applyNumberFormat="1" applyFont="1" applyBorder="1"/>
    <xf numFmtId="1" fontId="14" fillId="7" borderId="18" xfId="5" applyNumberFormat="1" applyFont="1" applyFill="1" applyBorder="1" applyAlignment="1">
      <alignment horizontal="right"/>
    </xf>
    <xf numFmtId="4" fontId="17" fillId="7" borderId="18" xfId="5" applyNumberFormat="1" applyFont="1" applyFill="1" applyBorder="1" applyAlignment="1">
      <alignment horizontal="center"/>
    </xf>
    <xf numFmtId="0" fontId="17" fillId="7" borderId="18" xfId="5" applyFont="1" applyFill="1" applyBorder="1" applyAlignment="1">
      <alignment horizontal="center"/>
    </xf>
    <xf numFmtId="4" fontId="17" fillId="7" borderId="18" xfId="5" applyNumberFormat="1" applyFont="1" applyFill="1" applyBorder="1" applyAlignment="1">
      <alignment horizontal="right"/>
    </xf>
    <xf numFmtId="4" fontId="14" fillId="7" borderId="18" xfId="5" applyNumberFormat="1" applyFont="1" applyFill="1" applyBorder="1" applyAlignment="1">
      <alignment horizontal="right"/>
    </xf>
    <xf numFmtId="1" fontId="14" fillId="7" borderId="18" xfId="2" applyNumberFormat="1" applyFont="1" applyFill="1" applyBorder="1" applyAlignment="1">
      <alignment horizontal="right" vertical="top"/>
    </xf>
    <xf numFmtId="2" fontId="17" fillId="7" borderId="18" xfId="2" applyNumberFormat="1" applyFont="1" applyFill="1" applyBorder="1" applyAlignment="1">
      <alignment horizontal="center"/>
    </xf>
    <xf numFmtId="0" fontId="17" fillId="7" borderId="18" xfId="2" applyFont="1" applyFill="1" applyBorder="1" applyAlignment="1">
      <alignment horizontal="center"/>
    </xf>
    <xf numFmtId="4" fontId="17" fillId="7" borderId="18" xfId="2" applyNumberFormat="1" applyFont="1" applyFill="1" applyBorder="1" applyAlignment="1">
      <alignment horizontal="right"/>
    </xf>
    <xf numFmtId="4" fontId="14" fillId="7" borderId="18" xfId="2" applyNumberFormat="1" applyFont="1" applyFill="1" applyBorder="1" applyAlignment="1">
      <alignment horizontal="center"/>
    </xf>
    <xf numFmtId="0" fontId="14" fillId="0" borderId="9" xfId="2" quotePrefix="1" applyFont="1" applyFill="1" applyBorder="1" applyAlignment="1">
      <alignment horizontal="right"/>
    </xf>
    <xf numFmtId="0" fontId="14" fillId="0" borderId="10" xfId="2" quotePrefix="1" applyFont="1" applyFill="1" applyBorder="1" applyAlignment="1">
      <alignment horizontal="left"/>
    </xf>
    <xf numFmtId="2" fontId="14" fillId="0" borderId="10" xfId="2" applyNumberFormat="1" applyFont="1" applyFill="1" applyBorder="1"/>
    <xf numFmtId="0" fontId="14" fillId="0" borderId="10" xfId="2" applyFont="1" applyFill="1" applyBorder="1" applyAlignment="1">
      <alignment horizontal="center"/>
    </xf>
    <xf numFmtId="4" fontId="14" fillId="0" borderId="10" xfId="2" applyNumberFormat="1" applyFont="1" applyFill="1" applyBorder="1"/>
    <xf numFmtId="4" fontId="14" fillId="0" borderId="11" xfId="2" applyNumberFormat="1" applyFont="1" applyFill="1" applyBorder="1"/>
    <xf numFmtId="0" fontId="17" fillId="0" borderId="9" xfId="2" quotePrefix="1" applyFont="1" applyBorder="1" applyAlignment="1">
      <alignment horizontal="right"/>
    </xf>
    <xf numFmtId="0" fontId="17" fillId="0" borderId="12" xfId="2" quotePrefix="1" applyFont="1" applyBorder="1" applyAlignment="1">
      <alignment horizontal="right"/>
    </xf>
    <xf numFmtId="1" fontId="14" fillId="5" borderId="74" xfId="2" applyNumberFormat="1" applyFont="1" applyFill="1" applyBorder="1" applyAlignment="1" applyProtection="1">
      <alignment horizontal="center" vertical="top"/>
    </xf>
    <xf numFmtId="0" fontId="14" fillId="5" borderId="1" xfId="2" applyFont="1" applyFill="1" applyBorder="1" applyAlignment="1" applyProtection="1">
      <alignment horizontal="center"/>
    </xf>
    <xf numFmtId="2" fontId="14" fillId="5" borderId="1" xfId="2" applyNumberFormat="1" applyFont="1" applyFill="1" applyBorder="1"/>
    <xf numFmtId="0" fontId="14" fillId="5" borderId="1" xfId="2" applyFont="1" applyFill="1" applyBorder="1" applyAlignment="1">
      <alignment horizontal="center"/>
    </xf>
    <xf numFmtId="4" fontId="14" fillId="5" borderId="1" xfId="2" applyNumberFormat="1" applyFont="1" applyFill="1" applyBorder="1" applyAlignment="1">
      <alignment horizontal="center"/>
    </xf>
    <xf numFmtId="168" fontId="14" fillId="5" borderId="75" xfId="2" applyNumberFormat="1" applyFont="1" applyFill="1" applyBorder="1" applyAlignment="1">
      <alignment horizontal="center"/>
    </xf>
    <xf numFmtId="2" fontId="17" fillId="0" borderId="23" xfId="2" quotePrefix="1" applyNumberFormat="1" applyFont="1" applyBorder="1" applyAlignment="1">
      <alignment horizontal="right"/>
    </xf>
    <xf numFmtId="166" fontId="17" fillId="0" borderId="23" xfId="6" applyFont="1" applyBorder="1"/>
    <xf numFmtId="166" fontId="17" fillId="0" borderId="24" xfId="6" applyFont="1" applyBorder="1"/>
    <xf numFmtId="0" fontId="14" fillId="0" borderId="22" xfId="2" applyFont="1" applyBorder="1" applyAlignment="1">
      <alignment horizontal="right" vertical="top"/>
    </xf>
    <xf numFmtId="0" fontId="43" fillId="0" borderId="23" xfId="2" applyFont="1" applyBorder="1" applyAlignment="1">
      <alignment horizontal="left"/>
    </xf>
    <xf numFmtId="2" fontId="17" fillId="0" borderId="23" xfId="2" applyNumberFormat="1" applyFont="1" applyBorder="1"/>
    <xf numFmtId="0" fontId="17" fillId="0" borderId="24" xfId="2" applyFont="1" applyBorder="1"/>
    <xf numFmtId="0" fontId="17" fillId="0" borderId="76" xfId="5" applyFont="1" applyBorder="1" applyAlignment="1">
      <alignment vertical="center"/>
    </xf>
    <xf numFmtId="0" fontId="17" fillId="0" borderId="31" xfId="5" applyFont="1" applyBorder="1" applyAlignment="1">
      <alignment vertical="center"/>
    </xf>
    <xf numFmtId="0" fontId="17" fillId="0" borderId="31" xfId="5" applyFont="1" applyBorder="1" applyAlignment="1">
      <alignment horizontal="right" vertical="center"/>
    </xf>
    <xf numFmtId="0" fontId="17" fillId="0" borderId="31" xfId="5" applyFont="1" applyBorder="1" applyAlignment="1">
      <alignment horizontal="center" vertical="center"/>
    </xf>
    <xf numFmtId="0" fontId="17" fillId="0" borderId="0" xfId="5" applyFont="1" applyBorder="1" applyAlignment="1">
      <alignment vertical="center"/>
    </xf>
    <xf numFmtId="0" fontId="17" fillId="0" borderId="0" xfId="5" applyFont="1" applyBorder="1" applyAlignment="1">
      <alignment horizontal="right" vertical="center"/>
    </xf>
    <xf numFmtId="0" fontId="17" fillId="0" borderId="0" xfId="5" applyFont="1" applyBorder="1" applyAlignment="1">
      <alignment horizontal="center" vertical="center"/>
    </xf>
    <xf numFmtId="4" fontId="2" fillId="0" borderId="0" xfId="3" applyNumberFormat="1"/>
    <xf numFmtId="0" fontId="23" fillId="0" borderId="3" xfId="5" quotePrefix="1" applyFont="1" applyBorder="1" applyAlignment="1">
      <alignment horizontal="left" vertical="top"/>
    </xf>
    <xf numFmtId="0" fontId="14" fillId="4" borderId="0" xfId="5" applyFont="1" applyFill="1" applyBorder="1" applyAlignment="1">
      <alignment horizontal="center"/>
    </xf>
    <xf numFmtId="0" fontId="14" fillId="4" borderId="0" xfId="5" applyFont="1" applyFill="1" applyBorder="1" applyAlignment="1">
      <alignment horizontal="left"/>
    </xf>
    <xf numFmtId="0" fontId="17" fillId="4" borderId="0" xfId="5" applyFont="1" applyFill="1" applyBorder="1" applyAlignment="1">
      <alignment horizontal="left"/>
    </xf>
    <xf numFmtId="4" fontId="14" fillId="4" borderId="0" xfId="5" quotePrefix="1" applyNumberFormat="1" applyFont="1" applyFill="1" applyBorder="1" applyAlignment="1"/>
    <xf numFmtId="4" fontId="14" fillId="4" borderId="0" xfId="5" applyNumberFormat="1" applyFont="1" applyFill="1" applyBorder="1"/>
    <xf numFmtId="1" fontId="14" fillId="5" borderId="6" xfId="5" applyNumberFormat="1" applyFont="1" applyFill="1" applyBorder="1" applyAlignment="1" applyProtection="1">
      <alignment horizontal="center"/>
    </xf>
    <xf numFmtId="0" fontId="14" fillId="5" borderId="7" xfId="5" applyFont="1" applyFill="1" applyBorder="1" applyAlignment="1" applyProtection="1">
      <alignment horizontal="center"/>
    </xf>
    <xf numFmtId="4" fontId="14" fillId="5" borderId="7" xfId="5" applyNumberFormat="1" applyFont="1" applyFill="1" applyBorder="1"/>
    <xf numFmtId="0" fontId="14" fillId="5" borderId="7" xfId="5" applyFont="1" applyFill="1" applyBorder="1" applyAlignment="1">
      <alignment horizontal="center"/>
    </xf>
    <xf numFmtId="4" fontId="14" fillId="5" borderId="7" xfId="5" applyNumberFormat="1" applyFont="1" applyFill="1" applyBorder="1" applyAlignment="1">
      <alignment horizontal="center"/>
    </xf>
    <xf numFmtId="168" fontId="14" fillId="5" borderId="8" xfId="5" applyNumberFormat="1" applyFont="1" applyFill="1" applyBorder="1" applyAlignment="1">
      <alignment horizontal="center"/>
    </xf>
    <xf numFmtId="2" fontId="17" fillId="0" borderId="24" xfId="5" applyNumberFormat="1" applyFont="1" applyBorder="1" applyAlignment="1">
      <alignment horizontal="right"/>
    </xf>
    <xf numFmtId="2" fontId="17" fillId="0" borderId="24" xfId="6" applyNumberFormat="1" applyFont="1" applyBorder="1" applyAlignment="1">
      <alignment horizontal="right"/>
    </xf>
    <xf numFmtId="4" fontId="17" fillId="0" borderId="24" xfId="6" applyNumberFormat="1" applyFont="1" applyBorder="1" applyAlignment="1">
      <alignment horizontal="right"/>
    </xf>
    <xf numFmtId="1" fontId="17" fillId="0" borderId="78" xfId="5" applyNumberFormat="1" applyFont="1" applyBorder="1" applyAlignment="1">
      <alignment horizontal="right"/>
    </xf>
    <xf numFmtId="0" fontId="17" fillId="0" borderId="79" xfId="5" applyFont="1" applyBorder="1"/>
    <xf numFmtId="4" fontId="17" fillId="0" borderId="79" xfId="5" applyNumberFormat="1" applyFont="1" applyBorder="1" applyAlignment="1">
      <alignment horizontal="right"/>
    </xf>
    <xf numFmtId="0" fontId="17" fillId="0" borderId="79" xfId="5" applyFont="1" applyBorder="1" applyAlignment="1">
      <alignment horizontal="center"/>
    </xf>
    <xf numFmtId="4" fontId="14" fillId="0" borderId="80" xfId="5" applyNumberFormat="1" applyFont="1" applyBorder="1" applyAlignment="1">
      <alignment horizontal="right"/>
    </xf>
    <xf numFmtId="1" fontId="17" fillId="6" borderId="81" xfId="5" applyNumberFormat="1" applyFont="1" applyFill="1" applyBorder="1" applyAlignment="1" applyProtection="1">
      <alignment horizontal="right"/>
    </xf>
    <xf numFmtId="0" fontId="14" fillId="6" borderId="82" xfId="5" applyFont="1" applyFill="1" applyBorder="1" applyAlignment="1" applyProtection="1">
      <alignment horizontal="center"/>
    </xf>
    <xf numFmtId="39" fontId="17" fillId="6" borderId="82" xfId="5" applyNumberFormat="1" applyFont="1" applyFill="1" applyBorder="1" applyAlignment="1" applyProtection="1">
      <alignment horizontal="right"/>
    </xf>
    <xf numFmtId="39" fontId="17" fillId="6" borderId="82" xfId="5" applyNumberFormat="1" applyFont="1" applyFill="1" applyBorder="1" applyAlignment="1" applyProtection="1">
      <alignment horizontal="center"/>
    </xf>
    <xf numFmtId="39" fontId="14" fillId="6" borderId="83" xfId="5" applyNumberFormat="1" applyFont="1" applyFill="1" applyBorder="1" applyAlignment="1" applyProtection="1">
      <alignment horizontal="right"/>
    </xf>
    <xf numFmtId="0" fontId="17" fillId="0" borderId="84" xfId="2" applyFont="1" applyBorder="1" applyAlignment="1" applyProtection="1">
      <alignment horizontal="left" vertical="center"/>
    </xf>
    <xf numFmtId="2" fontId="17" fillId="0" borderId="84" xfId="2" applyNumberFormat="1" applyFont="1" applyBorder="1" applyAlignment="1" applyProtection="1">
      <alignment horizontal="right" vertical="center"/>
    </xf>
    <xf numFmtId="0" fontId="17" fillId="0" borderId="84" xfId="2" applyFont="1" applyBorder="1" applyAlignment="1" applyProtection="1">
      <alignment horizontal="center" vertical="center"/>
    </xf>
    <xf numFmtId="4" fontId="17" fillId="0" borderId="84" xfId="2" applyNumberFormat="1" applyFont="1" applyBorder="1" applyAlignment="1" applyProtection="1">
      <alignment horizontal="right" vertical="center"/>
    </xf>
    <xf numFmtId="4" fontId="17" fillId="0" borderId="85" xfId="2" applyNumberFormat="1" applyFont="1" applyBorder="1" applyAlignment="1" applyProtection="1">
      <alignment horizontal="right" vertical="center"/>
      <protection locked="0"/>
    </xf>
    <xf numFmtId="0" fontId="14" fillId="7" borderId="18" xfId="2" applyFont="1" applyFill="1" applyBorder="1" applyAlignment="1" applyProtection="1">
      <alignment vertical="top"/>
    </xf>
    <xf numFmtId="0" fontId="14" fillId="7" borderId="18" xfId="2" applyFont="1" applyFill="1" applyBorder="1" applyAlignment="1" applyProtection="1">
      <alignment horizontal="left" vertical="center"/>
    </xf>
    <xf numFmtId="2" fontId="17" fillId="7" borderId="18" xfId="2" applyNumberFormat="1" applyFont="1" applyFill="1" applyBorder="1" applyAlignment="1">
      <alignment horizontal="right" vertical="center"/>
    </xf>
    <xf numFmtId="0" fontId="17" fillId="7" borderId="18" xfId="2" applyFont="1" applyFill="1" applyBorder="1" applyAlignment="1">
      <alignment horizontal="center" vertical="center"/>
    </xf>
    <xf numFmtId="0" fontId="17" fillId="7" borderId="18" xfId="2" applyFont="1" applyFill="1" applyBorder="1" applyAlignment="1">
      <alignment horizontal="right" vertical="center"/>
    </xf>
    <xf numFmtId="1" fontId="14" fillId="5" borderId="86" xfId="2" applyNumberFormat="1" applyFont="1" applyFill="1" applyBorder="1" applyAlignment="1" applyProtection="1">
      <alignment horizontal="center" vertical="top"/>
    </xf>
    <xf numFmtId="0" fontId="14" fillId="5" borderId="87" xfId="2" applyFont="1" applyFill="1" applyBorder="1" applyAlignment="1" applyProtection="1">
      <alignment horizontal="center"/>
    </xf>
    <xf numFmtId="2" fontId="14" fillId="5" borderId="87" xfId="2" applyNumberFormat="1" applyFont="1" applyFill="1" applyBorder="1"/>
    <xf numFmtId="0" fontId="14" fillId="5" borderId="87" xfId="2" applyFont="1" applyFill="1" applyBorder="1" applyAlignment="1">
      <alignment horizontal="center"/>
    </xf>
    <xf numFmtId="4" fontId="14" fillId="5" borderId="87" xfId="2" applyNumberFormat="1" applyFont="1" applyFill="1" applyBorder="1" applyAlignment="1">
      <alignment horizontal="center"/>
    </xf>
    <xf numFmtId="168" fontId="14" fillId="5" borderId="88" xfId="2" applyNumberFormat="1" applyFont="1" applyFill="1" applyBorder="1" applyAlignment="1">
      <alignment horizontal="center"/>
    </xf>
    <xf numFmtId="0" fontId="17" fillId="0" borderId="89" xfId="2" applyFont="1" applyBorder="1" applyAlignment="1">
      <alignment vertical="top"/>
    </xf>
    <xf numFmtId="0" fontId="17" fillId="0" borderId="84" xfId="2" quotePrefix="1" applyFont="1" applyBorder="1" applyAlignment="1" applyProtection="1">
      <alignment horizontal="left" vertical="center"/>
    </xf>
    <xf numFmtId="2" fontId="17" fillId="0" borderId="84" xfId="2" applyNumberFormat="1" applyFont="1" applyBorder="1" applyAlignment="1">
      <alignment horizontal="right" vertical="center"/>
    </xf>
    <xf numFmtId="0" fontId="17" fillId="0" borderId="84" xfId="2" applyFont="1" applyBorder="1" applyAlignment="1">
      <alignment horizontal="center" vertical="center"/>
    </xf>
    <xf numFmtId="1" fontId="17" fillId="6" borderId="90" xfId="2" applyNumberFormat="1" applyFont="1" applyFill="1" applyBorder="1" applyAlignment="1" applyProtection="1">
      <alignment horizontal="right" vertical="top"/>
    </xf>
    <xf numFmtId="0" fontId="14" fillId="6" borderId="91" xfId="2" applyFont="1" applyFill="1" applyBorder="1" applyAlignment="1" applyProtection="1">
      <alignment horizontal="center"/>
    </xf>
    <xf numFmtId="2" fontId="17" fillId="6" borderId="91" xfId="2" applyNumberFormat="1" applyFont="1" applyFill="1" applyBorder="1" applyProtection="1"/>
    <xf numFmtId="39" fontId="17" fillId="6" borderId="91" xfId="2" applyNumberFormat="1" applyFont="1" applyFill="1" applyBorder="1" applyAlignment="1" applyProtection="1">
      <alignment horizontal="center"/>
    </xf>
    <xf numFmtId="39" fontId="17" fillId="6" borderId="91" xfId="2" applyNumberFormat="1" applyFont="1" applyFill="1" applyBorder="1" applyAlignment="1" applyProtection="1">
      <alignment horizontal="right"/>
    </xf>
    <xf numFmtId="39" fontId="14" fillId="6" borderId="92" xfId="2" applyNumberFormat="1" applyFont="1" applyFill="1" applyBorder="1" applyAlignment="1" applyProtection="1">
      <alignment horizontal="right"/>
    </xf>
    <xf numFmtId="0" fontId="44" fillId="0" borderId="0" xfId="5" applyFont="1" applyBorder="1"/>
    <xf numFmtId="178" fontId="4" fillId="0" borderId="1" xfId="5" quotePrefix="1" applyNumberFormat="1" applyFont="1" applyFill="1" applyBorder="1" applyAlignment="1">
      <alignment horizontal="center"/>
    </xf>
    <xf numFmtId="0" fontId="4" fillId="0" borderId="1" xfId="5" applyFont="1" applyFill="1" applyBorder="1" applyAlignment="1">
      <alignment horizontal="left"/>
    </xf>
    <xf numFmtId="2" fontId="4" fillId="0" borderId="1" xfId="5" applyNumberFormat="1" applyFont="1" applyFill="1" applyBorder="1" applyAlignment="1">
      <alignment horizontal="center"/>
    </xf>
    <xf numFmtId="4" fontId="4" fillId="0" borderId="1" xfId="5" applyNumberFormat="1" applyFont="1" applyFill="1" applyBorder="1"/>
    <xf numFmtId="167" fontId="3" fillId="0" borderId="1" xfId="5" quotePrefix="1" applyNumberFormat="1" applyFont="1" applyFill="1" applyBorder="1" applyAlignment="1">
      <alignment horizontal="right"/>
    </xf>
    <xf numFmtId="0" fontId="3" fillId="0" borderId="1" xfId="5" applyFont="1" applyFill="1" applyBorder="1" applyAlignment="1">
      <alignment horizontal="right"/>
    </xf>
    <xf numFmtId="0" fontId="4" fillId="0" borderId="1" xfId="5" applyFont="1" applyFill="1" applyBorder="1" applyAlignment="1">
      <alignment horizontal="center"/>
    </xf>
    <xf numFmtId="4" fontId="3" fillId="0" borderId="1" xfId="5" applyNumberFormat="1" applyFont="1" applyFill="1" applyBorder="1"/>
    <xf numFmtId="4" fontId="4" fillId="0" borderId="1" xfId="5" applyNumberFormat="1" applyFont="1" applyFill="1" applyBorder="1" applyAlignment="1">
      <alignment horizontal="center"/>
    </xf>
    <xf numFmtId="0" fontId="44" fillId="0" borderId="0" xfId="5" applyFont="1" applyFill="1" applyBorder="1"/>
    <xf numFmtId="167" fontId="44" fillId="0" borderId="0" xfId="5" applyNumberFormat="1" applyFont="1"/>
    <xf numFmtId="0" fontId="44" fillId="0" borderId="0" xfId="5" applyFont="1"/>
    <xf numFmtId="2" fontId="44" fillId="0" borderId="0" xfId="5" applyNumberFormat="1" applyFont="1"/>
    <xf numFmtId="4" fontId="44" fillId="0" borderId="0" xfId="5" applyNumberFormat="1" applyFont="1"/>
    <xf numFmtId="1" fontId="14" fillId="5" borderId="28" xfId="2" applyNumberFormat="1" applyFont="1" applyFill="1" applyBorder="1" applyAlignment="1" applyProtection="1">
      <alignment horizontal="center" vertical="center"/>
    </xf>
    <xf numFmtId="0" fontId="14" fillId="5" borderId="29" xfId="2" applyFont="1" applyFill="1" applyBorder="1" applyAlignment="1" applyProtection="1">
      <alignment horizontal="center" vertical="center"/>
    </xf>
    <xf numFmtId="0" fontId="14" fillId="5" borderId="29" xfId="2" applyFont="1" applyFill="1" applyBorder="1" applyAlignment="1">
      <alignment horizontal="center" vertical="center"/>
    </xf>
    <xf numFmtId="4" fontId="14" fillId="5" borderId="29" xfId="2" applyNumberFormat="1" applyFont="1" applyFill="1" applyBorder="1" applyAlignment="1">
      <alignment horizontal="center" vertical="center"/>
    </xf>
    <xf numFmtId="168" fontId="14" fillId="5" borderId="30" xfId="2" applyNumberFormat="1" applyFont="1" applyFill="1" applyBorder="1" applyAlignment="1">
      <alignment horizontal="center" vertical="center"/>
    </xf>
    <xf numFmtId="2" fontId="14" fillId="5" borderId="29" xfId="2" applyNumberFormat="1" applyFont="1" applyFill="1" applyBorder="1" applyAlignment="1">
      <alignment horizontal="center" vertical="center"/>
    </xf>
    <xf numFmtId="0" fontId="2" fillId="0" borderId="0" xfId="5" applyAlignment="1">
      <alignment horizontal="center" vertical="center"/>
    </xf>
    <xf numFmtId="167" fontId="3" fillId="0" borderId="97" xfId="5" applyNumberFormat="1" applyFont="1" applyBorder="1" applyAlignment="1">
      <alignment horizontal="center" wrapText="1"/>
    </xf>
    <xf numFmtId="167" fontId="4" fillId="0" borderId="1" xfId="0" applyNumberFormat="1" applyFont="1" applyFill="1" applyBorder="1" applyAlignment="1">
      <alignment horizontal="center"/>
    </xf>
    <xf numFmtId="178" fontId="17" fillId="0" borderId="1" xfId="5" quotePrefix="1" applyNumberFormat="1" applyFont="1" applyFill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/>
    <xf numFmtId="1" fontId="14" fillId="4" borderId="101" xfId="2" applyNumberFormat="1" applyFont="1" applyFill="1" applyBorder="1" applyAlignment="1" applyProtection="1">
      <alignment horizontal="right" vertical="top"/>
    </xf>
    <xf numFmtId="0" fontId="14" fillId="4" borderId="102" xfId="2" applyFont="1" applyFill="1" applyBorder="1" applyAlignment="1">
      <alignment horizontal="left"/>
    </xf>
    <xf numFmtId="2" fontId="17" fillId="4" borderId="102" xfId="2" applyNumberFormat="1" applyFont="1" applyFill="1" applyBorder="1" applyProtection="1"/>
    <xf numFmtId="39" fontId="17" fillId="4" borderId="102" xfId="2" applyNumberFormat="1" applyFont="1" applyFill="1" applyBorder="1" applyAlignment="1" applyProtection="1">
      <alignment horizontal="center"/>
    </xf>
    <xf numFmtId="39" fontId="17" fillId="4" borderId="102" xfId="2" applyNumberFormat="1" applyFont="1" applyFill="1" applyBorder="1" applyProtection="1"/>
    <xf numFmtId="39" fontId="14" fillId="4" borderId="103" xfId="2" applyNumberFormat="1" applyFont="1" applyFill="1" applyBorder="1" applyProtection="1"/>
    <xf numFmtId="1" fontId="14" fillId="5" borderId="104" xfId="2" applyNumberFormat="1" applyFont="1" applyFill="1" applyBorder="1" applyAlignment="1" applyProtection="1">
      <alignment horizontal="right" vertical="top"/>
    </xf>
    <xf numFmtId="0" fontId="14" fillId="5" borderId="105" xfId="2" applyFont="1" applyFill="1" applyBorder="1" applyAlignment="1" applyProtection="1">
      <alignment horizontal="center"/>
    </xf>
    <xf numFmtId="2" fontId="14" fillId="5" borderId="105" xfId="2" applyNumberFormat="1" applyFont="1" applyFill="1" applyBorder="1"/>
    <xf numFmtId="0" fontId="14" fillId="5" borderId="105" xfId="2" applyFont="1" applyFill="1" applyBorder="1" applyAlignment="1">
      <alignment horizontal="center"/>
    </xf>
    <xf numFmtId="4" fontId="14" fillId="5" borderId="105" xfId="2" applyNumberFormat="1" applyFont="1" applyFill="1" applyBorder="1" applyAlignment="1">
      <alignment horizontal="center"/>
    </xf>
    <xf numFmtId="168" fontId="14" fillId="5" borderId="106" xfId="2" applyNumberFormat="1" applyFont="1" applyFill="1" applyBorder="1" applyAlignment="1">
      <alignment horizontal="center"/>
    </xf>
    <xf numFmtId="1" fontId="23" fillId="0" borderId="107" xfId="5" applyNumberFormat="1" applyFont="1" applyBorder="1" applyAlignment="1">
      <alignment horizontal="right"/>
    </xf>
    <xf numFmtId="0" fontId="23" fillId="0" borderId="108" xfId="5" applyFont="1" applyBorder="1"/>
    <xf numFmtId="4" fontId="23" fillId="0" borderId="108" xfId="5" applyNumberFormat="1" applyFont="1" applyBorder="1" applyAlignment="1">
      <alignment horizontal="center"/>
    </xf>
    <xf numFmtId="0" fontId="23" fillId="0" borderId="108" xfId="5" quotePrefix="1" applyFont="1" applyBorder="1" applyAlignment="1">
      <alignment horizontal="center"/>
    </xf>
    <xf numFmtId="4" fontId="23" fillId="0" borderId="108" xfId="5" applyNumberFormat="1" applyFont="1" applyBorder="1" applyAlignment="1">
      <alignment horizontal="right"/>
    </xf>
    <xf numFmtId="4" fontId="17" fillId="0" borderId="109" xfId="5" applyNumberFormat="1" applyFont="1" applyBorder="1" applyAlignment="1">
      <alignment horizontal="right"/>
    </xf>
    <xf numFmtId="1" fontId="23" fillId="0" borderId="2" xfId="5" applyNumberFormat="1" applyFont="1" applyBorder="1" applyAlignment="1">
      <alignment horizontal="right"/>
    </xf>
    <xf numFmtId="0" fontId="23" fillId="0" borderId="3" xfId="5" applyFont="1" applyBorder="1" applyAlignment="1">
      <alignment horizontal="left"/>
    </xf>
    <xf numFmtId="4" fontId="23" fillId="0" borderId="3" xfId="5" applyNumberFormat="1" applyFont="1" applyBorder="1" applyAlignment="1">
      <alignment horizontal="center"/>
    </xf>
    <xf numFmtId="4" fontId="23" fillId="0" borderId="3" xfId="5" applyNumberFormat="1" applyFont="1" applyBorder="1" applyAlignment="1">
      <alignment horizontal="right"/>
    </xf>
    <xf numFmtId="4" fontId="17" fillId="0" borderId="4" xfId="5" applyNumberFormat="1" applyFont="1" applyBorder="1" applyAlignment="1">
      <alignment horizontal="right"/>
    </xf>
    <xf numFmtId="0" fontId="23" fillId="0" borderId="3" xfId="5" applyFont="1" applyBorder="1"/>
    <xf numFmtId="4" fontId="23" fillId="0" borderId="4" xfId="5" applyNumberFormat="1" applyFont="1" applyBorder="1" applyAlignment="1">
      <alignment horizontal="right"/>
    </xf>
    <xf numFmtId="0" fontId="23" fillId="0" borderId="3" xfId="5" quotePrefix="1" applyFont="1" applyBorder="1" applyAlignment="1">
      <alignment horizontal="left"/>
    </xf>
    <xf numFmtId="4" fontId="23" fillId="0" borderId="4" xfId="5" quotePrefix="1" applyNumberFormat="1" applyFont="1" applyBorder="1" applyAlignment="1">
      <alignment horizontal="right"/>
    </xf>
    <xf numFmtId="1" fontId="23" fillId="0" borderId="2" xfId="5" quotePrefix="1" applyNumberFormat="1" applyFont="1" applyBorder="1" applyAlignment="1">
      <alignment horizontal="right"/>
    </xf>
    <xf numFmtId="10" fontId="23" fillId="0" borderId="3" xfId="5" applyNumberFormat="1" applyFont="1" applyBorder="1" applyAlignment="1">
      <alignment horizontal="right"/>
    </xf>
    <xf numFmtId="1" fontId="23" fillId="0" borderId="98" xfId="5" quotePrefix="1" applyNumberFormat="1" applyFont="1" applyBorder="1" applyAlignment="1">
      <alignment horizontal="right"/>
    </xf>
    <xf numFmtId="0" fontId="23" fillId="0" borderId="99" xfId="5" quotePrefix="1" applyFont="1" applyBorder="1" applyAlignment="1">
      <alignment horizontal="left"/>
    </xf>
    <xf numFmtId="4" fontId="23" fillId="0" borderId="99" xfId="5" applyNumberFormat="1" applyFont="1" applyBorder="1" applyAlignment="1">
      <alignment horizontal="center"/>
    </xf>
    <xf numFmtId="0" fontId="23" fillId="0" borderId="99" xfId="5" applyFont="1" applyBorder="1" applyAlignment="1">
      <alignment horizontal="center"/>
    </xf>
    <xf numFmtId="4" fontId="23" fillId="0" borderId="99" xfId="5" applyNumberFormat="1" applyFont="1" applyBorder="1" applyAlignment="1">
      <alignment horizontal="right"/>
    </xf>
    <xf numFmtId="4" fontId="23" fillId="0" borderId="100" xfId="5" quotePrefix="1" applyNumberFormat="1" applyFont="1" applyBorder="1" applyAlignment="1">
      <alignment horizontal="right"/>
    </xf>
    <xf numFmtId="4" fontId="0" fillId="0" borderId="0" xfId="0" applyNumberFormat="1"/>
    <xf numFmtId="4" fontId="46" fillId="25" borderId="0" xfId="0" applyNumberFormat="1" applyFont="1" applyFill="1"/>
    <xf numFmtId="4" fontId="46" fillId="0" borderId="0" xfId="0" applyNumberFormat="1" applyFont="1"/>
    <xf numFmtId="0" fontId="46" fillId="0" borderId="0" xfId="0" applyFont="1"/>
    <xf numFmtId="4" fontId="0" fillId="0" borderId="0" xfId="0" applyNumberFormat="1" applyFill="1" applyBorder="1"/>
    <xf numFmtId="4" fontId="0" fillId="0" borderId="0" xfId="0" applyNumberFormat="1" applyFill="1"/>
    <xf numFmtId="4" fontId="46" fillId="25" borderId="0" xfId="0" applyNumberFormat="1" applyFont="1" applyFill="1" applyBorder="1"/>
    <xf numFmtId="0" fontId="0" fillId="0" borderId="0" xfId="0" applyFill="1"/>
    <xf numFmtId="0" fontId="0" fillId="0" borderId="0" xfId="0"/>
    <xf numFmtId="0" fontId="0" fillId="0" borderId="0" xfId="0" applyFill="1" applyBorder="1"/>
    <xf numFmtId="0" fontId="0" fillId="3" borderId="0" xfId="0" applyFill="1" applyBorder="1"/>
    <xf numFmtId="0" fontId="5" fillId="0" borderId="0" xfId="0" applyFont="1" applyFill="1" applyBorder="1" applyAlignment="1">
      <alignment horizontal="left" wrapText="1"/>
    </xf>
    <xf numFmtId="4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167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vertical="top"/>
    </xf>
    <xf numFmtId="0" fontId="2" fillId="0" borderId="0" xfId="3"/>
    <xf numFmtId="0" fontId="23" fillId="0" borderId="3" xfId="5" applyFont="1" applyBorder="1" applyAlignment="1">
      <alignment horizontal="left" vertical="top" wrapText="1"/>
    </xf>
    <xf numFmtId="0" fontId="22" fillId="4" borderId="39" xfId="5" applyFont="1" applyFill="1" applyBorder="1" applyAlignment="1">
      <alignment horizontal="right" vertical="top"/>
    </xf>
    <xf numFmtId="0" fontId="22" fillId="4" borderId="18" xfId="5" applyFont="1" applyFill="1" applyBorder="1" applyAlignment="1">
      <alignment horizontal="left"/>
    </xf>
    <xf numFmtId="0" fontId="23" fillId="4" borderId="18" xfId="5" applyFont="1" applyFill="1" applyBorder="1" applyAlignment="1">
      <alignment horizontal="left"/>
    </xf>
    <xf numFmtId="4" fontId="22" fillId="4" borderId="18" xfId="5" quotePrefix="1" applyNumberFormat="1" applyFont="1" applyFill="1" applyBorder="1" applyAlignment="1"/>
    <xf numFmtId="0" fontId="22" fillId="4" borderId="18" xfId="5" applyFont="1" applyFill="1" applyBorder="1" applyAlignment="1">
      <alignment horizontal="center"/>
    </xf>
    <xf numFmtId="4" fontId="22" fillId="4" borderId="40" xfId="5" applyNumberFormat="1" applyFont="1" applyFill="1" applyBorder="1"/>
    <xf numFmtId="1" fontId="22" fillId="5" borderId="28" xfId="5" applyNumberFormat="1" applyFont="1" applyFill="1" applyBorder="1" applyAlignment="1" applyProtection="1">
      <alignment horizontal="center" vertical="top"/>
    </xf>
    <xf numFmtId="0" fontId="22" fillId="5" borderId="29" xfId="5" applyFont="1" applyFill="1" applyBorder="1" applyAlignment="1" applyProtection="1">
      <alignment horizontal="center"/>
    </xf>
    <xf numFmtId="4" fontId="22" fillId="5" borderId="29" xfId="5" applyNumberFormat="1" applyFont="1" applyFill="1" applyBorder="1"/>
    <xf numFmtId="0" fontId="22" fillId="5" borderId="29" xfId="5" applyFont="1" applyFill="1" applyBorder="1" applyAlignment="1">
      <alignment horizontal="center"/>
    </xf>
    <xf numFmtId="4" fontId="22" fillId="5" borderId="29" xfId="5" applyNumberFormat="1" applyFont="1" applyFill="1" applyBorder="1" applyAlignment="1">
      <alignment horizontal="center"/>
    </xf>
    <xf numFmtId="168" fontId="22" fillId="5" borderId="30" xfId="5" applyNumberFormat="1" applyFont="1" applyFill="1" applyBorder="1" applyAlignment="1">
      <alignment horizontal="center"/>
    </xf>
    <xf numFmtId="0" fontId="23" fillId="0" borderId="9" xfId="5" applyFont="1" applyBorder="1" applyAlignment="1">
      <alignment horizontal="right" vertical="top"/>
    </xf>
    <xf numFmtId="0" fontId="23" fillId="0" borderId="10" xfId="5" quotePrefix="1" applyFont="1" applyBorder="1" applyAlignment="1">
      <alignment horizontal="left" wrapText="1"/>
    </xf>
    <xf numFmtId="4" fontId="23" fillId="0" borderId="10" xfId="5" applyNumberFormat="1" applyFont="1" applyBorder="1"/>
    <xf numFmtId="0" fontId="23" fillId="0" borderId="10" xfId="5" quotePrefix="1" applyFont="1" applyBorder="1" applyAlignment="1">
      <alignment horizontal="center"/>
    </xf>
    <xf numFmtId="4" fontId="17" fillId="0" borderId="11" xfId="5" applyNumberFormat="1" applyFont="1" applyBorder="1"/>
    <xf numFmtId="0" fontId="23" fillId="0" borderId="10" xfId="5" applyFont="1" applyBorder="1" applyAlignment="1">
      <alignment horizontal="left"/>
    </xf>
    <xf numFmtId="0" fontId="23" fillId="0" borderId="10" xfId="5" applyFont="1" applyBorder="1" applyAlignment="1">
      <alignment horizontal="center"/>
    </xf>
    <xf numFmtId="0" fontId="23" fillId="0" borderId="9" xfId="5" quotePrefix="1" applyFont="1" applyBorder="1" applyAlignment="1">
      <alignment horizontal="right" vertical="top"/>
    </xf>
    <xf numFmtId="0" fontId="23" fillId="0" borderId="22" xfId="5" quotePrefix="1" applyFont="1" applyBorder="1" applyAlignment="1">
      <alignment horizontal="right" vertical="top"/>
    </xf>
    <xf numFmtId="0" fontId="23" fillId="0" borderId="23" xfId="5" applyFont="1" applyBorder="1" applyAlignment="1">
      <alignment horizontal="left"/>
    </xf>
    <xf numFmtId="4" fontId="23" fillId="0" borderId="23" xfId="5" applyNumberFormat="1" applyFont="1" applyBorder="1"/>
    <xf numFmtId="0" fontId="23" fillId="0" borderId="23" xfId="5" applyFont="1" applyBorder="1" applyAlignment="1">
      <alignment horizontal="center"/>
    </xf>
    <xf numFmtId="4" fontId="23" fillId="0" borderId="24" xfId="5" applyNumberFormat="1" applyFont="1" applyBorder="1"/>
    <xf numFmtId="1" fontId="23" fillId="6" borderId="15" xfId="5" applyNumberFormat="1" applyFont="1" applyFill="1" applyBorder="1" applyAlignment="1" applyProtection="1">
      <alignment horizontal="right" vertical="top"/>
    </xf>
    <xf numFmtId="0" fontId="22" fillId="6" borderId="16" xfId="5" applyFont="1" applyFill="1" applyBorder="1" applyAlignment="1" applyProtection="1">
      <alignment horizontal="center"/>
    </xf>
    <xf numFmtId="39" fontId="23" fillId="6" borderId="16" xfId="5" applyNumberFormat="1" applyFont="1" applyFill="1" applyBorder="1" applyProtection="1"/>
    <xf numFmtId="39" fontId="23" fillId="6" borderId="16" xfId="5" applyNumberFormat="1" applyFont="1" applyFill="1" applyBorder="1" applyAlignment="1" applyProtection="1">
      <alignment horizontal="center"/>
    </xf>
    <xf numFmtId="39" fontId="22" fillId="6" borderId="17" xfId="5" applyNumberFormat="1" applyFont="1" applyFill="1" applyBorder="1" applyProtection="1"/>
    <xf numFmtId="4" fontId="12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center" vertical="top"/>
    </xf>
    <xf numFmtId="167" fontId="12" fillId="0" borderId="0" xfId="0" applyNumberFormat="1" applyFont="1" applyFill="1" applyBorder="1" applyAlignment="1">
      <alignment horizontal="center" vertical="top"/>
    </xf>
    <xf numFmtId="0" fontId="49" fillId="0" borderId="110" xfId="0" applyFont="1" applyBorder="1" applyAlignment="1">
      <alignment horizontal="left"/>
    </xf>
    <xf numFmtId="4" fontId="48" fillId="0" borderId="110" xfId="0" applyNumberFormat="1" applyFont="1" applyBorder="1" applyAlignment="1">
      <alignment horizontal="center"/>
    </xf>
    <xf numFmtId="0" fontId="48" fillId="0" borderId="110" xfId="0" applyFont="1" applyBorder="1" applyAlignment="1">
      <alignment horizontal="center"/>
    </xf>
    <xf numFmtId="0" fontId="50" fillId="8" borderId="110" xfId="0" applyFont="1" applyFill="1" applyBorder="1" applyAlignment="1">
      <alignment horizontal="left" vertical="center"/>
    </xf>
    <xf numFmtId="10" fontId="4" fillId="2" borderId="110" xfId="0" applyNumberFormat="1" applyFont="1" applyFill="1" applyBorder="1" applyAlignment="1">
      <alignment horizontal="center"/>
    </xf>
    <xf numFmtId="0" fontId="4" fillId="0" borderId="110" xfId="0" applyFont="1" applyBorder="1" applyAlignment="1">
      <alignment horizontal="center"/>
    </xf>
    <xf numFmtId="4" fontId="4" fillId="0" borderId="110" xfId="0" applyNumberFormat="1" applyFont="1" applyBorder="1" applyAlignment="1">
      <alignment horizontal="center"/>
    </xf>
    <xf numFmtId="10" fontId="4" fillId="0" borderId="110" xfId="0" applyNumberFormat="1" applyFont="1" applyBorder="1" applyAlignment="1">
      <alignment horizontal="center"/>
    </xf>
    <xf numFmtId="10" fontId="4" fillId="8" borderId="110" xfId="148" applyNumberFormat="1" applyFont="1" applyFill="1" applyBorder="1" applyAlignment="1">
      <alignment horizontal="center" vertical="center"/>
    </xf>
    <xf numFmtId="0" fontId="0" fillId="26" borderId="0" xfId="0" applyFill="1"/>
    <xf numFmtId="4" fontId="0" fillId="26" borderId="0" xfId="0" applyNumberFormat="1" applyFill="1"/>
    <xf numFmtId="0" fontId="0" fillId="0" borderId="0" xfId="0" applyAlignment="1">
      <alignment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10" fillId="8" borderId="0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vertical="center"/>
    </xf>
    <xf numFmtId="4" fontId="10" fillId="8" borderId="0" xfId="0" applyNumberFormat="1" applyFont="1" applyFill="1" applyBorder="1" applyAlignment="1">
      <alignment horizontal="right" vertical="center"/>
    </xf>
    <xf numFmtId="0" fontId="10" fillId="27" borderId="0" xfId="0" applyFont="1" applyFill="1" applyAlignment="1">
      <alignment horizontal="center" vertical="center"/>
    </xf>
    <xf numFmtId="0" fontId="51" fillId="27" borderId="0" xfId="0" applyFont="1" applyFill="1" applyAlignment="1">
      <alignment vertical="center"/>
    </xf>
    <xf numFmtId="0" fontId="10" fillId="27" borderId="0" xfId="0" applyFont="1" applyFill="1" applyAlignment="1">
      <alignment vertical="center"/>
    </xf>
    <xf numFmtId="0" fontId="10" fillId="27" borderId="0" xfId="0" applyFont="1" applyFill="1" applyAlignment="1">
      <alignment vertical="center" wrapText="1"/>
    </xf>
    <xf numFmtId="0" fontId="10" fillId="27" borderId="0" xfId="0" applyFont="1" applyFill="1" applyBorder="1" applyAlignment="1">
      <alignment vertical="center"/>
    </xf>
    <xf numFmtId="0" fontId="10" fillId="27" borderId="0" xfId="0" applyFont="1" applyFill="1" applyBorder="1" applyAlignment="1">
      <alignment vertical="center" wrapText="1"/>
    </xf>
    <xf numFmtId="0" fontId="10" fillId="27" borderId="111" xfId="0" applyFont="1" applyFill="1" applyBorder="1" applyAlignment="1">
      <alignment horizontal="center" vertical="center"/>
    </xf>
    <xf numFmtId="0" fontId="11" fillId="0" borderId="110" xfId="0" applyFont="1" applyFill="1" applyBorder="1" applyAlignment="1">
      <alignment horizontal="left" vertical="top"/>
    </xf>
    <xf numFmtId="167" fontId="3" fillId="0" borderId="110" xfId="114" applyNumberFormat="1" applyFont="1" applyFill="1" applyBorder="1" applyAlignment="1">
      <alignment horizontal="right" vertical="center"/>
    </xf>
    <xf numFmtId="167" fontId="3" fillId="0" borderId="110" xfId="0" applyNumberFormat="1" applyFont="1" applyFill="1" applyBorder="1" applyAlignment="1">
      <alignment horizontal="center" vertical="center"/>
    </xf>
    <xf numFmtId="0" fontId="10" fillId="0" borderId="110" xfId="0" applyFont="1" applyFill="1" applyBorder="1" applyAlignment="1">
      <alignment horizontal="left" vertical="top" wrapText="1"/>
    </xf>
    <xf numFmtId="167" fontId="4" fillId="0" borderId="110" xfId="114" applyNumberFormat="1" applyFont="1" applyFill="1" applyBorder="1" applyAlignment="1">
      <alignment horizontal="right" vertical="center"/>
    </xf>
    <xf numFmtId="0" fontId="10" fillId="0" borderId="110" xfId="0" applyFont="1" applyFill="1" applyBorder="1" applyAlignment="1">
      <alignment horizontal="center" wrapText="1"/>
    </xf>
    <xf numFmtId="4" fontId="10" fillId="0" borderId="110" xfId="0" applyNumberFormat="1" applyFont="1" applyFill="1" applyBorder="1" applyAlignment="1">
      <alignment horizontal="right" wrapText="1"/>
    </xf>
    <xf numFmtId="4" fontId="10" fillId="0" borderId="110" xfId="0" applyNumberFormat="1" applyFont="1" applyFill="1" applyBorder="1" applyAlignment="1">
      <alignment horizontal="right" vertical="center" wrapText="1"/>
    </xf>
    <xf numFmtId="0" fontId="10" fillId="0" borderId="110" xfId="0" applyFont="1" applyFill="1" applyBorder="1" applyAlignment="1">
      <alignment horizontal="center" vertical="center" wrapText="1"/>
    </xf>
    <xf numFmtId="0" fontId="10" fillId="0" borderId="110" xfId="0" applyFont="1" applyFill="1" applyBorder="1" applyAlignment="1">
      <alignment horizontal="left" vertical="center" wrapText="1"/>
    </xf>
    <xf numFmtId="4" fontId="4" fillId="0" borderId="110" xfId="0" applyNumberFormat="1" applyFont="1" applyBorder="1" applyAlignment="1">
      <alignment horizontal="right"/>
    </xf>
    <xf numFmtId="0" fontId="3" fillId="26" borderId="110" xfId="0" applyFont="1" applyFill="1" applyBorder="1"/>
    <xf numFmtId="10" fontId="4" fillId="26" borderId="110" xfId="0" applyNumberFormat="1" applyFont="1" applyFill="1" applyBorder="1" applyAlignment="1">
      <alignment horizontal="right"/>
    </xf>
    <xf numFmtId="0" fontId="4" fillId="26" borderId="110" xfId="0" applyFont="1" applyFill="1" applyBorder="1"/>
    <xf numFmtId="4" fontId="4" fillId="26" borderId="110" xfId="0" applyNumberFormat="1" applyFont="1" applyFill="1" applyBorder="1" applyAlignment="1">
      <alignment horizontal="right"/>
    </xf>
    <xf numFmtId="0" fontId="4" fillId="0" borderId="110" xfId="0" applyFont="1" applyBorder="1"/>
    <xf numFmtId="10" fontId="4" fillId="0" borderId="110" xfId="0" applyNumberFormat="1" applyFont="1" applyBorder="1" applyAlignment="1">
      <alignment horizontal="right"/>
    </xf>
    <xf numFmtId="0" fontId="3" fillId="0" borderId="110" xfId="0" applyFont="1" applyBorder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11" fillId="0" borderId="0" xfId="0" applyFont="1" applyBorder="1" applyAlignment="1">
      <alignment vertical="top" wrapText="1"/>
    </xf>
    <xf numFmtId="43" fontId="11" fillId="0" borderId="0" xfId="150" applyFont="1" applyBorder="1" applyAlignment="1">
      <alignment horizontal="right" vertical="top"/>
    </xf>
    <xf numFmtId="4" fontId="11" fillId="0" borderId="0" xfId="0" applyNumberFormat="1" applyFont="1" applyBorder="1" applyAlignment="1">
      <alignment horizontal="left" vertical="top" wrapText="1"/>
    </xf>
    <xf numFmtId="2" fontId="7" fillId="0" borderId="18" xfId="0" applyNumberFormat="1" applyFont="1" applyFill="1" applyBorder="1" applyAlignment="1">
      <alignment horizontal="center" vertical="top"/>
    </xf>
    <xf numFmtId="0" fontId="7" fillId="0" borderId="18" xfId="0" applyFont="1" applyFill="1" applyBorder="1" applyAlignment="1">
      <alignment wrapText="1"/>
    </xf>
    <xf numFmtId="4" fontId="7" fillId="0" borderId="18" xfId="0" applyNumberFormat="1" applyFont="1" applyFill="1" applyBorder="1" applyAlignment="1">
      <alignment horizontal="right" wrapText="1"/>
    </xf>
    <xf numFmtId="0" fontId="7" fillId="0" borderId="18" xfId="0" applyFont="1" applyFill="1" applyBorder="1" applyAlignment="1">
      <alignment horizontal="center" wrapText="1"/>
    </xf>
    <xf numFmtId="0" fontId="10" fillId="26" borderId="110" xfId="0" applyFont="1" applyFill="1" applyBorder="1" applyAlignment="1">
      <alignment horizontal="left" vertical="top"/>
    </xf>
    <xf numFmtId="167" fontId="4" fillId="26" borderId="110" xfId="114" applyNumberFormat="1" applyFont="1" applyFill="1" applyBorder="1" applyAlignment="1">
      <alignment horizontal="right" vertical="center"/>
    </xf>
    <xf numFmtId="167" fontId="4" fillId="26" borderId="110" xfId="0" applyNumberFormat="1" applyFont="1" applyFill="1" applyBorder="1" applyAlignment="1">
      <alignment horizontal="center" vertical="center"/>
    </xf>
    <xf numFmtId="0" fontId="10" fillId="26" borderId="110" xfId="0" applyFont="1" applyFill="1" applyBorder="1" applyAlignment="1">
      <alignment horizontal="left" vertical="top" wrapText="1"/>
    </xf>
    <xf numFmtId="4" fontId="10" fillId="26" borderId="110" xfId="0" applyNumberFormat="1" applyFont="1" applyFill="1" applyBorder="1" applyAlignment="1">
      <alignment horizontal="right" wrapText="1"/>
    </xf>
    <xf numFmtId="0" fontId="10" fillId="26" borderId="110" xfId="0" applyFont="1" applyFill="1" applyBorder="1" applyAlignment="1">
      <alignment horizontal="center" wrapText="1"/>
    </xf>
    <xf numFmtId="0" fontId="10" fillId="26" borderId="110" xfId="0" applyFont="1" applyFill="1" applyBorder="1" applyAlignment="1">
      <alignment horizontal="left" vertical="center" wrapText="1"/>
    </xf>
    <xf numFmtId="4" fontId="10" fillId="26" borderId="110" xfId="0" applyNumberFormat="1" applyFont="1" applyFill="1" applyBorder="1" applyAlignment="1">
      <alignment horizontal="right" vertical="center" wrapText="1"/>
    </xf>
    <xf numFmtId="0" fontId="10" fillId="26" borderId="1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3" fillId="8" borderId="110" xfId="0" applyFont="1" applyFill="1" applyBorder="1" applyAlignment="1">
      <alignment horizontal="center"/>
    </xf>
    <xf numFmtId="4" fontId="0" fillId="3" borderId="0" xfId="0" applyNumberFormat="1" applyFill="1" applyBorder="1"/>
    <xf numFmtId="4" fontId="0" fillId="0" borderId="0" xfId="151" applyNumberFormat="1" applyFont="1" applyFill="1" applyBorder="1"/>
    <xf numFmtId="2" fontId="7" fillId="3" borderId="107" xfId="0" applyNumberFormat="1" applyFont="1" applyFill="1" applyBorder="1" applyAlignment="1">
      <alignment horizontal="center" vertical="top"/>
    </xf>
    <xf numFmtId="0" fontId="7" fillId="3" borderId="108" xfId="0" applyFont="1" applyFill="1" applyBorder="1" applyAlignment="1">
      <alignment horizontal="center" vertical="center" wrapText="1"/>
    </xf>
    <xf numFmtId="4" fontId="7" fillId="3" borderId="108" xfId="0" applyNumberFormat="1" applyFont="1" applyFill="1" applyBorder="1" applyAlignment="1">
      <alignment horizontal="center" vertical="center"/>
    </xf>
    <xf numFmtId="4" fontId="7" fillId="3" borderId="109" xfId="0" applyNumberFormat="1" applyFont="1" applyFill="1" applyBorder="1" applyAlignment="1">
      <alignment horizontal="right"/>
    </xf>
    <xf numFmtId="2" fontId="5" fillId="0" borderId="112" xfId="0" applyNumberFormat="1" applyFont="1" applyFill="1" applyBorder="1" applyAlignment="1">
      <alignment horizontal="center" vertical="top"/>
    </xf>
    <xf numFmtId="0" fontId="9" fillId="0" borderId="113" xfId="0" applyFont="1" applyFill="1" applyBorder="1" applyAlignment="1">
      <alignment horizontal="center" vertical="center" wrapText="1"/>
    </xf>
    <xf numFmtId="4" fontId="9" fillId="0" borderId="113" xfId="0" applyNumberFormat="1" applyFont="1" applyFill="1" applyBorder="1" applyAlignment="1">
      <alignment horizontal="right" vertical="center"/>
    </xf>
    <xf numFmtId="4" fontId="9" fillId="0" borderId="113" xfId="0" applyNumberFormat="1" applyFont="1" applyFill="1" applyBorder="1" applyAlignment="1">
      <alignment horizontal="center" vertical="center"/>
    </xf>
    <xf numFmtId="4" fontId="9" fillId="0" borderId="114" xfId="0" applyNumberFormat="1" applyFont="1" applyFill="1" applyBorder="1" applyAlignment="1">
      <alignment horizontal="right"/>
    </xf>
    <xf numFmtId="2" fontId="10" fillId="26" borderId="115" xfId="0" applyNumberFormat="1" applyFont="1" applyFill="1" applyBorder="1" applyAlignment="1">
      <alignment horizontal="center" vertical="top"/>
    </xf>
    <xf numFmtId="4" fontId="5" fillId="26" borderId="116" xfId="0" applyNumberFormat="1" applyFont="1" applyFill="1" applyBorder="1" applyAlignment="1">
      <alignment horizontal="right"/>
    </xf>
    <xf numFmtId="2" fontId="10" fillId="0" borderId="115" xfId="0" applyNumberFormat="1" applyFont="1" applyFill="1" applyBorder="1" applyAlignment="1">
      <alignment horizontal="center" vertical="top"/>
    </xf>
    <xf numFmtId="167" fontId="4" fillId="0" borderId="116" xfId="114" applyNumberFormat="1" applyFont="1" applyFill="1" applyBorder="1" applyAlignment="1">
      <alignment horizontal="right"/>
    </xf>
    <xf numFmtId="170" fontId="10" fillId="0" borderId="115" xfId="0" applyNumberFormat="1" applyFont="1" applyFill="1" applyBorder="1" applyAlignment="1">
      <alignment horizontal="center" vertical="top"/>
    </xf>
    <xf numFmtId="167" fontId="4" fillId="26" borderId="116" xfId="114" applyNumberFormat="1" applyFont="1" applyFill="1" applyBorder="1" applyAlignment="1">
      <alignment horizontal="right"/>
    </xf>
    <xf numFmtId="2" fontId="10" fillId="0" borderId="115" xfId="0" applyNumberFormat="1" applyFont="1" applyFill="1" applyBorder="1" applyAlignment="1">
      <alignment horizontal="center" vertical="center"/>
    </xf>
    <xf numFmtId="167" fontId="4" fillId="0" borderId="116" xfId="114" applyNumberFormat="1" applyFont="1" applyFill="1" applyBorder="1" applyAlignment="1">
      <alignment horizontal="right" vertical="center"/>
    </xf>
    <xf numFmtId="170" fontId="10" fillId="0" borderId="115" xfId="0" applyNumberFormat="1" applyFont="1" applyFill="1" applyBorder="1" applyAlignment="1">
      <alignment horizontal="center" vertical="center"/>
    </xf>
    <xf numFmtId="167" fontId="4" fillId="26" borderId="116" xfId="114" applyNumberFormat="1" applyFont="1" applyFill="1" applyBorder="1" applyAlignment="1">
      <alignment horizontal="right" vertical="center"/>
    </xf>
    <xf numFmtId="2" fontId="10" fillId="26" borderId="115" xfId="0" applyNumberFormat="1" applyFont="1" applyFill="1" applyBorder="1" applyAlignment="1">
      <alignment horizontal="center" vertical="center"/>
    </xf>
    <xf numFmtId="167" fontId="4" fillId="8" borderId="116" xfId="114" applyNumberFormat="1" applyFont="1" applyFill="1" applyBorder="1" applyAlignment="1">
      <alignment horizontal="right" vertical="center"/>
    </xf>
    <xf numFmtId="0" fontId="10" fillId="0" borderId="115" xfId="0" applyFont="1" applyFill="1" applyBorder="1" applyAlignment="1">
      <alignment horizontal="center" vertical="center" wrapText="1"/>
    </xf>
    <xf numFmtId="4" fontId="10" fillId="0" borderId="116" xfId="0" applyNumberFormat="1" applyFont="1" applyFill="1" applyBorder="1" applyAlignment="1">
      <alignment horizontal="right" vertical="center" wrapText="1"/>
    </xf>
    <xf numFmtId="4" fontId="3" fillId="26" borderId="116" xfId="0" applyNumberFormat="1" applyFont="1" applyFill="1" applyBorder="1" applyAlignment="1">
      <alignment horizontal="right"/>
    </xf>
    <xf numFmtId="2" fontId="11" fillId="0" borderId="115" xfId="0" applyNumberFormat="1" applyFont="1" applyFill="1" applyBorder="1" applyAlignment="1">
      <alignment horizontal="center" vertical="top"/>
    </xf>
    <xf numFmtId="4" fontId="9" fillId="0" borderId="116" xfId="0" applyNumberFormat="1" applyFont="1" applyFill="1" applyBorder="1" applyAlignment="1">
      <alignment horizontal="right"/>
    </xf>
    <xf numFmtId="0" fontId="3" fillId="8" borderId="115" xfId="0" applyFont="1" applyFill="1" applyBorder="1" applyAlignment="1">
      <alignment horizontal="center"/>
    </xf>
    <xf numFmtId="4" fontId="3" fillId="8" borderId="116" xfId="0" applyNumberFormat="1" applyFont="1" applyFill="1" applyBorder="1" applyAlignment="1">
      <alignment horizontal="right"/>
    </xf>
    <xf numFmtId="0" fontId="4" fillId="0" borderId="115" xfId="0" applyFont="1" applyBorder="1" applyAlignment="1">
      <alignment horizontal="center" vertical="top"/>
    </xf>
    <xf numFmtId="4" fontId="4" fillId="0" borderId="116" xfId="0" applyNumberFormat="1" applyFont="1" applyBorder="1" applyAlignment="1">
      <alignment horizontal="right"/>
    </xf>
    <xf numFmtId="0" fontId="48" fillId="0" borderId="115" xfId="0" applyFont="1" applyBorder="1" applyAlignment="1">
      <alignment horizontal="center" vertical="top"/>
    </xf>
    <xf numFmtId="4" fontId="48" fillId="0" borderId="116" xfId="0" applyNumberFormat="1" applyFont="1" applyBorder="1" applyAlignment="1">
      <alignment horizontal="right"/>
    </xf>
    <xf numFmtId="0" fontId="48" fillId="0" borderId="115" xfId="0" applyFont="1" applyFill="1" applyBorder="1" applyAlignment="1">
      <alignment horizontal="center" vertical="top"/>
    </xf>
    <xf numFmtId="0" fontId="4" fillId="26" borderId="115" xfId="0" applyFont="1" applyFill="1" applyBorder="1" applyAlignment="1">
      <alignment horizontal="center" vertical="top"/>
    </xf>
    <xf numFmtId="4" fontId="4" fillId="26" borderId="116" xfId="0" applyNumberFormat="1" applyFont="1" applyFill="1" applyBorder="1" applyAlignment="1">
      <alignment horizontal="right"/>
    </xf>
    <xf numFmtId="4" fontId="3" fillId="26" borderId="119" xfId="0" applyNumberFormat="1" applyFont="1" applyFill="1" applyBorder="1" applyAlignment="1">
      <alignment horizontal="right"/>
    </xf>
    <xf numFmtId="0" fontId="3" fillId="26" borderId="115" xfId="0" applyFont="1" applyFill="1" applyBorder="1" applyAlignment="1">
      <alignment horizontal="center"/>
    </xf>
    <xf numFmtId="0" fontId="3" fillId="26" borderId="110" xfId="0" applyFont="1" applyFill="1" applyBorder="1" applyAlignment="1">
      <alignment horizontal="center"/>
    </xf>
    <xf numFmtId="4" fontId="7" fillId="0" borderId="18" xfId="0" applyNumberFormat="1" applyFont="1" applyFill="1" applyBorder="1" applyAlignment="1">
      <alignment horizontal="left" wrapText="1"/>
    </xf>
    <xf numFmtId="0" fontId="47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3" fillId="26" borderId="117" xfId="0" applyFont="1" applyFill="1" applyBorder="1" applyAlignment="1">
      <alignment horizontal="center"/>
    </xf>
    <xf numFmtId="0" fontId="3" fillId="26" borderId="118" xfId="0" applyFont="1" applyFill="1" applyBorder="1" applyAlignment="1">
      <alignment horizontal="center"/>
    </xf>
    <xf numFmtId="0" fontId="10" fillId="8" borderId="0" xfId="0" applyFont="1" applyFill="1" applyBorder="1" applyAlignment="1">
      <alignment horizontal="left" vertical="center"/>
    </xf>
    <xf numFmtId="0" fontId="51" fillId="27" borderId="0" xfId="0" applyFont="1" applyFill="1" applyBorder="1" applyAlignment="1">
      <alignment horizontal="left" vertical="center" wrapText="1"/>
    </xf>
    <xf numFmtId="0" fontId="11" fillId="27" borderId="0" xfId="0" applyFont="1" applyFill="1" applyBorder="1" applyAlignment="1">
      <alignment horizontal="left" vertical="center"/>
    </xf>
    <xf numFmtId="0" fontId="11" fillId="27" borderId="97" xfId="0" applyFont="1" applyFill="1" applyBorder="1" applyAlignment="1">
      <alignment horizontal="center" vertical="center"/>
    </xf>
    <xf numFmtId="0" fontId="10" fillId="27" borderId="0" xfId="0" applyFont="1" applyFill="1" applyAlignment="1">
      <alignment horizontal="left" vertical="center"/>
    </xf>
    <xf numFmtId="0" fontId="10" fillId="27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4" fillId="26" borderId="115" xfId="0" applyFont="1" applyFill="1" applyBorder="1" applyAlignment="1">
      <alignment horizontal="center"/>
    </xf>
    <xf numFmtId="0" fontId="4" fillId="26" borderId="11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top" wrapText="1"/>
    </xf>
    <xf numFmtId="0" fontId="22" fillId="4" borderId="18" xfId="5" applyFont="1" applyFill="1" applyBorder="1" applyAlignment="1">
      <alignment horizontal="left" wrapText="1"/>
    </xf>
    <xf numFmtId="0" fontId="22" fillId="4" borderId="40" xfId="5" applyFont="1" applyFill="1" applyBorder="1" applyAlignment="1">
      <alignment horizontal="left" wrapText="1"/>
    </xf>
    <xf numFmtId="0" fontId="14" fillId="4" borderId="77" xfId="2" applyFont="1" applyFill="1" applyBorder="1" applyAlignment="1">
      <alignment horizontal="left" vertical="top" wrapText="1"/>
    </xf>
    <xf numFmtId="0" fontId="14" fillId="4" borderId="0" xfId="2" applyFont="1" applyFill="1" applyBorder="1" applyAlignment="1">
      <alignment horizontal="left" vertical="top" wrapText="1"/>
    </xf>
    <xf numFmtId="0" fontId="14" fillId="4" borderId="68" xfId="2" applyFont="1" applyFill="1" applyBorder="1" applyAlignment="1">
      <alignment horizontal="left" vertical="top" wrapText="1"/>
    </xf>
    <xf numFmtId="39" fontId="14" fillId="6" borderId="15" xfId="2" applyNumberFormat="1" applyFont="1" applyFill="1" applyBorder="1" applyAlignment="1" applyProtection="1">
      <alignment horizontal="center"/>
    </xf>
    <xf numFmtId="39" fontId="14" fillId="6" borderId="16" xfId="2" applyNumberFormat="1" applyFont="1" applyFill="1" applyBorder="1" applyAlignment="1" applyProtection="1">
      <alignment horizontal="center"/>
    </xf>
    <xf numFmtId="0" fontId="14" fillId="24" borderId="67" xfId="2" applyFont="1" applyFill="1" applyBorder="1" applyAlignment="1">
      <alignment horizontal="center" vertical="top"/>
    </xf>
    <xf numFmtId="0" fontId="14" fillId="24" borderId="0" xfId="2" applyFont="1" applyFill="1" applyBorder="1" applyAlignment="1">
      <alignment horizontal="center" vertical="top"/>
    </xf>
    <xf numFmtId="0" fontId="14" fillId="24" borderId="68" xfId="2" applyFont="1" applyFill="1" applyBorder="1" applyAlignment="1">
      <alignment horizontal="center" vertical="top"/>
    </xf>
    <xf numFmtId="0" fontId="14" fillId="4" borderId="18" xfId="5" applyFont="1" applyFill="1" applyBorder="1" applyAlignment="1">
      <alignment horizontal="left"/>
    </xf>
    <xf numFmtId="39" fontId="14" fillId="6" borderId="81" xfId="5" applyNumberFormat="1" applyFont="1" applyFill="1" applyBorder="1" applyAlignment="1" applyProtection="1">
      <alignment horizontal="center"/>
    </xf>
    <xf numFmtId="39" fontId="14" fillId="6" borderId="82" xfId="5" applyNumberFormat="1" applyFont="1" applyFill="1" applyBorder="1" applyAlignment="1" applyProtection="1">
      <alignment horizontal="center"/>
    </xf>
    <xf numFmtId="0" fontId="14" fillId="4" borderId="18" xfId="5" applyFont="1" applyFill="1" applyBorder="1" applyAlignment="1">
      <alignment horizontal="left" vertical="center" wrapText="1"/>
    </xf>
    <xf numFmtId="0" fontId="14" fillId="4" borderId="18" xfId="5" applyFont="1" applyFill="1" applyBorder="1" applyAlignment="1">
      <alignment horizontal="center" vertical="center" wrapText="1"/>
    </xf>
    <xf numFmtId="0" fontId="14" fillId="4" borderId="18" xfId="5" applyFont="1" applyFill="1" applyBorder="1" applyAlignment="1">
      <alignment horizontal="left" wrapText="1"/>
    </xf>
    <xf numFmtId="0" fontId="14" fillId="4" borderId="96" xfId="5" applyFont="1" applyFill="1" applyBorder="1" applyAlignment="1">
      <alignment horizontal="left"/>
    </xf>
    <xf numFmtId="167" fontId="3" fillId="0" borderId="93" xfId="5" applyNumberFormat="1" applyFont="1" applyBorder="1" applyAlignment="1">
      <alignment horizontal="center" wrapText="1"/>
    </xf>
    <xf numFmtId="167" fontId="3" fillId="0" borderId="94" xfId="5" applyNumberFormat="1" applyFont="1" applyBorder="1" applyAlignment="1">
      <alignment horizontal="center" wrapText="1"/>
    </xf>
    <xf numFmtId="167" fontId="3" fillId="0" borderId="95" xfId="5" applyNumberFormat="1" applyFont="1" applyBorder="1" applyAlignment="1">
      <alignment horizontal="center" wrapText="1"/>
    </xf>
    <xf numFmtId="0" fontId="6" fillId="8" borderId="46" xfId="5" applyFont="1" applyFill="1" applyBorder="1" applyAlignment="1">
      <alignment horizontal="center" vertical="center" wrapText="1"/>
    </xf>
    <xf numFmtId="0" fontId="6" fillId="8" borderId="47" xfId="5" applyFont="1" applyFill="1" applyBorder="1" applyAlignment="1">
      <alignment horizontal="center" vertical="center" wrapText="1"/>
    </xf>
    <xf numFmtId="0" fontId="6" fillId="8" borderId="48" xfId="5" applyFont="1" applyFill="1" applyBorder="1" applyAlignment="1">
      <alignment horizontal="center" vertical="center" wrapText="1"/>
    </xf>
    <xf numFmtId="4" fontId="3" fillId="8" borderId="1" xfId="5" applyNumberFormat="1" applyFont="1" applyFill="1" applyBorder="1" applyAlignment="1">
      <alignment horizontal="center" vertical="center" wrapText="1"/>
    </xf>
    <xf numFmtId="4" fontId="3" fillId="8" borderId="50" xfId="5" applyNumberFormat="1" applyFont="1" applyFill="1" applyBorder="1" applyAlignment="1">
      <alignment horizontal="center" vertical="center" wrapText="1"/>
    </xf>
    <xf numFmtId="0" fontId="46" fillId="25" borderId="0" xfId="0" applyFont="1" applyFill="1" applyAlignment="1">
      <alignment horizontal="center"/>
    </xf>
    <xf numFmtId="0" fontId="46" fillId="25" borderId="0" xfId="0" applyFont="1" applyFill="1" applyBorder="1" applyAlignment="1">
      <alignment horizontal="center"/>
    </xf>
  </cellXfs>
  <cellStyles count="152">
    <cellStyle name="20% - Accent1" xfId="17"/>
    <cellStyle name="20% - Accent1 2" xfId="18"/>
    <cellStyle name="20% - Accent2" xfId="19"/>
    <cellStyle name="20% - Accent2 2" xfId="20"/>
    <cellStyle name="20% - Accent3" xfId="21"/>
    <cellStyle name="20% - Accent3 2" xfId="22"/>
    <cellStyle name="20% - Accent4" xfId="23"/>
    <cellStyle name="20% - Accent4 2" xfId="24"/>
    <cellStyle name="20% - Accent5" xfId="25"/>
    <cellStyle name="20% - Accent5 2" xfId="26"/>
    <cellStyle name="20% - Accent6" xfId="27"/>
    <cellStyle name="20% - Accent6 2" xfId="28"/>
    <cellStyle name="20% - Énfasis1 2" xfId="29"/>
    <cellStyle name="20% - Énfasis2 2" xfId="30"/>
    <cellStyle name="20% - Énfasis3 2" xfId="31"/>
    <cellStyle name="20% - Énfasis4 2" xfId="32"/>
    <cellStyle name="20% - Énfasis5 2" xfId="33"/>
    <cellStyle name="20% - Énfasis6 2" xfId="34"/>
    <cellStyle name="40% - Accent1" xfId="35"/>
    <cellStyle name="40% - Accent1 2" xfId="36"/>
    <cellStyle name="40% - Accent2" xfId="37"/>
    <cellStyle name="40% - Accent2 2" xfId="38"/>
    <cellStyle name="40% - Accent3" xfId="39"/>
    <cellStyle name="40% - Accent3 2" xfId="40"/>
    <cellStyle name="40% - Accent4" xfId="41"/>
    <cellStyle name="40% - Accent4 2" xfId="42"/>
    <cellStyle name="40% - Accent5" xfId="43"/>
    <cellStyle name="40% - Accent5 2" xfId="44"/>
    <cellStyle name="40% - Accent6" xfId="45"/>
    <cellStyle name="40% - Accent6 2" xfId="46"/>
    <cellStyle name="40% - Énfasis1 2" xfId="47"/>
    <cellStyle name="40% - Énfasis2 2" xfId="48"/>
    <cellStyle name="40% - Énfasis3 2" xfId="49"/>
    <cellStyle name="40% - Énfasis4 2" xfId="50"/>
    <cellStyle name="40% - Énfasis5 2" xfId="51"/>
    <cellStyle name="40% - Énfasis6 2" xfId="52"/>
    <cellStyle name="60% - Accent1" xfId="53"/>
    <cellStyle name="60% - Accent1 2" xfId="54"/>
    <cellStyle name="60% - Accent2" xfId="55"/>
    <cellStyle name="60% - Accent2 2" xfId="56"/>
    <cellStyle name="60% - Accent3" xfId="57"/>
    <cellStyle name="60% - Accent3 2" xfId="58"/>
    <cellStyle name="60% - Accent4" xfId="59"/>
    <cellStyle name="60% - Accent4 2" xfId="60"/>
    <cellStyle name="60% - Accent5" xfId="61"/>
    <cellStyle name="60% - Accent5 2" xfId="62"/>
    <cellStyle name="60% - Accent6" xfId="63"/>
    <cellStyle name="60% - Accent6 2" xfId="64"/>
    <cellStyle name="60% - Énfasis1 2" xfId="65"/>
    <cellStyle name="60% - Énfasis2 2" xfId="66"/>
    <cellStyle name="60% - Énfasis3 2" xfId="67"/>
    <cellStyle name="60% - Énfasis4 2" xfId="68"/>
    <cellStyle name="60% - Énfasis5 2" xfId="69"/>
    <cellStyle name="60% - Énfasis6 2" xfId="70"/>
    <cellStyle name="Accent1" xfId="71"/>
    <cellStyle name="Accent1 2" xfId="72"/>
    <cellStyle name="Accent2" xfId="73"/>
    <cellStyle name="Accent2 2" xfId="74"/>
    <cellStyle name="Accent3" xfId="75"/>
    <cellStyle name="Accent3 2" xfId="76"/>
    <cellStyle name="Accent4" xfId="77"/>
    <cellStyle name="Accent4 2" xfId="78"/>
    <cellStyle name="Accent5" xfId="79"/>
    <cellStyle name="Accent5 2" xfId="80"/>
    <cellStyle name="Accent6" xfId="81"/>
    <cellStyle name="Accent6 2" xfId="82"/>
    <cellStyle name="Bad" xfId="83"/>
    <cellStyle name="Bad 2" xfId="84"/>
    <cellStyle name="Calculation" xfId="85"/>
    <cellStyle name="Calculation 2" xfId="86"/>
    <cellStyle name="Cálculo 2" xfId="87"/>
    <cellStyle name="Comma 2" xfId="88"/>
    <cellStyle name="Comma 3" xfId="89"/>
    <cellStyle name="Comma 4" xfId="90"/>
    <cellStyle name="Énfasis1 2" xfId="91"/>
    <cellStyle name="Énfasis2 2" xfId="92"/>
    <cellStyle name="Énfasis3 2" xfId="93"/>
    <cellStyle name="Énfasis4 2" xfId="94"/>
    <cellStyle name="Énfasis5 2" xfId="95"/>
    <cellStyle name="Énfasis6 2" xfId="96"/>
    <cellStyle name="Euro" xfId="97"/>
    <cellStyle name="Euro 2" xfId="98"/>
    <cellStyle name="Euro 3" xfId="99"/>
    <cellStyle name="Explanatory Text" xfId="100"/>
    <cellStyle name="Explanatory Text 2" xfId="101"/>
    <cellStyle name="F2" xfId="7"/>
    <cellStyle name="F3" xfId="8"/>
    <cellStyle name="F4" xfId="9"/>
    <cellStyle name="F5" xfId="10"/>
    <cellStyle name="F6" xfId="11"/>
    <cellStyle name="F7" xfId="12"/>
    <cellStyle name="F8" xfId="13"/>
    <cellStyle name="Heading 1" xfId="102"/>
    <cellStyle name="Heading 1 2" xfId="103"/>
    <cellStyle name="Heading 2" xfId="104"/>
    <cellStyle name="Heading 2 2" xfId="105"/>
    <cellStyle name="Heading 3" xfId="106"/>
    <cellStyle name="Heading 3 2" xfId="107"/>
    <cellStyle name="Incorrecto 2" xfId="108"/>
    <cellStyle name="Millares" xfId="150" builtinId="3"/>
    <cellStyle name="Millares 2" xfId="4"/>
    <cellStyle name="Millares 2 2" xfId="109"/>
    <cellStyle name="Millares 3" xfId="6"/>
    <cellStyle name="Millares 3 2" xfId="110"/>
    <cellStyle name="Millares 4" xfId="111"/>
    <cellStyle name="Millares 4 2" xfId="112"/>
    <cellStyle name="Millares 5" xfId="113"/>
    <cellStyle name="Millares 6" xfId="114"/>
    <cellStyle name="Millares 7" xfId="149"/>
    <cellStyle name="Moneda" xfId="151" builtinId="4"/>
    <cellStyle name="Moneda 2" xfId="115"/>
    <cellStyle name="Neutral 2" xfId="116"/>
    <cellStyle name="No-definido" xfId="117"/>
    <cellStyle name="Normal" xfId="0" builtinId="0"/>
    <cellStyle name="Normal - Style1" xfId="118"/>
    <cellStyle name="Normal 2" xfId="1"/>
    <cellStyle name="Normal 2 2" xfId="5"/>
    <cellStyle name="Normal 2 2 2" xfId="119"/>
    <cellStyle name="Normal 2 3" xfId="15"/>
    <cellStyle name="Normal 2_07-09 presupu..." xfId="120"/>
    <cellStyle name="Normal 3" xfId="3"/>
    <cellStyle name="Normal 3 2" xfId="121"/>
    <cellStyle name="Normal 3 3" xfId="122"/>
    <cellStyle name="Normal 4" xfId="123"/>
    <cellStyle name="Normal 4 2" xfId="124"/>
    <cellStyle name="Normal 5" xfId="125"/>
    <cellStyle name="Normal 6" xfId="126"/>
    <cellStyle name="Normal 7" xfId="127"/>
    <cellStyle name="Normal 8" xfId="128"/>
    <cellStyle name="Normal 9" xfId="129"/>
    <cellStyle name="Normal_Hoja1 2" xfId="147"/>
    <cellStyle name="Normal_POBID1" xfId="14"/>
    <cellStyle name="Normal_Pres. # 004 df.30-01-2008 ACUEDUCTO PAJONAL Modf. #2" xfId="146"/>
    <cellStyle name="Normal_Pres. # 057 df. 17-11-2005 AC. MULTIPLE  H.V.EXTENSIO LOS YAGRUMOS MOD.5" xfId="2"/>
    <cellStyle name="Output" xfId="130"/>
    <cellStyle name="Output 2" xfId="131"/>
    <cellStyle name="Percent 2" xfId="132"/>
    <cellStyle name="Percent 3" xfId="133"/>
    <cellStyle name="Porcentaje" xfId="148" builtinId="5"/>
    <cellStyle name="Porcentual 2" xfId="16"/>
    <cellStyle name="Porcentual 3" xfId="134"/>
    <cellStyle name="Porcentual 3 2" xfId="135"/>
    <cellStyle name="Porcentual 4 2" xfId="136"/>
    <cellStyle name="Salida 2" xfId="137"/>
    <cellStyle name="Texto explicativo 2" xfId="138"/>
    <cellStyle name="Title" xfId="139"/>
    <cellStyle name="Title 2" xfId="140"/>
    <cellStyle name="Título 1 2" xfId="141"/>
    <cellStyle name="Título 2 2" xfId="142"/>
    <cellStyle name="Título 3 2" xfId="143"/>
    <cellStyle name="Título 4" xfId="144"/>
    <cellStyle name="Total 2" xfId="1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16812</xdr:rowOff>
    </xdr:from>
    <xdr:to>
      <xdr:col>1</xdr:col>
      <xdr:colOff>693108</xdr:colOff>
      <xdr:row>3</xdr:row>
      <xdr:rowOff>98613</xdr:rowOff>
    </xdr:to>
    <xdr:pic>
      <xdr:nvPicPr>
        <xdr:cNvPr id="2" name="7 Imagen" descr="multiuso en el parque Héctor García Godoy-Model, VALL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94" y="196106"/>
          <a:ext cx="693108" cy="53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198120</xdr:colOff>
      <xdr:row>143</xdr:row>
      <xdr:rowOff>0</xdr:rowOff>
    </xdr:from>
    <xdr:ext cx="83820" cy="195943"/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98120" y="27184350"/>
          <a:ext cx="8382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198120</xdr:colOff>
      <xdr:row>294</xdr:row>
      <xdr:rowOff>0</xdr:rowOff>
    </xdr:from>
    <xdr:ext cx="83820" cy="195943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98120" y="27342353"/>
          <a:ext cx="8382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uiz/Desktop/archivos%20pc/descargas/Sagrario%20Ayuntamiento/Av.%20Maria%20Trinidad%20Sanchez/Presupuesto%20Aceras%20y%20Contenes%20Ca&#241;ada%20Honda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uiz/Desktop/archivos%20pc/descargas/DIGECOOM/PRESUPUESTOS/modelo%20para%20analisis%20de%20costo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uiz/Desktop/archivos%20pc/descargas/Presupuesto%20de%20Viviend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PROYECTOS%202006/ATABEY/dominica%20ultimo/Documents%20and%20Settings/JAJAJAJA/My%20Documents/My%20project/Proyectos%20en%20curso/P.C.2005/P.C.SERVICIO/plaza%20dominica/Trabajos%20realizados%20a%20Global/superestructur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capilla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Analisis Unit. "/>
      <sheetName val="Cargas Sociales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resup.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"/>
      <sheetName val="Movimiento de Tierra"/>
      <sheetName val="Hormigones"/>
      <sheetName val="Elementos de HA"/>
      <sheetName val="Terminacion de Superficie"/>
      <sheetName val="Miscelaneos"/>
      <sheetName val="ANALISISDECOSTO"/>
    </sheetNames>
    <sheetDataSet>
      <sheetData sheetId="0">
        <row r="21">
          <cell r="E21">
            <v>806.82</v>
          </cell>
        </row>
      </sheetData>
      <sheetData sheetId="1"/>
      <sheetData sheetId="2">
        <row r="99">
          <cell r="E99">
            <v>246.99549999999999</v>
          </cell>
        </row>
      </sheetData>
      <sheetData sheetId="3"/>
      <sheetData sheetId="4"/>
      <sheetData sheetId="5"/>
      <sheetData sheetId="6">
        <row r="135">
          <cell r="F135">
            <v>450</v>
          </cell>
        </row>
        <row r="145">
          <cell r="F145">
            <v>850</v>
          </cell>
        </row>
        <row r="160">
          <cell r="G160">
            <v>3055.08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 "/>
      <sheetName val="Hormigones"/>
      <sheetName val="Movimiento de Tierra"/>
      <sheetName val="Terminacion de Superficie"/>
      <sheetName val="Piezas Especiales"/>
      <sheetName val="Miscelaneos"/>
      <sheetName val="Verja de Malla Ciclonica"/>
      <sheetName val="Colc. Tuberia"/>
    </sheetNames>
    <sheetDataSet>
      <sheetData sheetId="0">
        <row r="96">
          <cell r="F96">
            <v>5092.6949999999997</v>
          </cell>
        </row>
      </sheetData>
      <sheetData sheetId="1"/>
      <sheetData sheetId="2"/>
      <sheetData sheetId="3"/>
      <sheetData sheetId="4"/>
      <sheetData sheetId="5"/>
      <sheetData sheetId="6">
        <row r="172">
          <cell r="F172">
            <v>151.608</v>
          </cell>
        </row>
      </sheetData>
      <sheetData sheetId="7">
        <row r="172">
          <cell r="F172">
            <v>151.608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SAN"/>
      <sheetName val="ELEC"/>
      <sheetName val="Npresupuesto 1HAB."/>
      <sheetName val="costo resumen"/>
      <sheetName val="costo resumen, sin filtrante"/>
      <sheetName val="Npresupuesto 2HAB."/>
      <sheetName val="presupuesto 2HAB. sin filtrante"/>
      <sheetName val="Npresupuesto 3HAB."/>
      <sheetName val="Npresupuesto 3HAB. sin filtrant"/>
      <sheetName val="Npresupuesto 1HAB. sin filtrant"/>
    </sheetNames>
    <sheetDataSet>
      <sheetData sheetId="0">
        <row r="268">
          <cell r="F268">
            <v>151.64100784313723</v>
          </cell>
        </row>
        <row r="293">
          <cell r="F293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view="pageBreakPreview" topLeftCell="A28" zoomScale="85" zoomScaleNormal="85" zoomScaleSheetLayoutView="85" workbookViewId="0">
      <selection activeCell="H55" sqref="H55"/>
    </sheetView>
  </sheetViews>
  <sheetFormatPr baseColWidth="10" defaultRowHeight="14.4" x14ac:dyDescent="0.3"/>
  <cols>
    <col min="1" max="1" width="7" style="767" customWidth="1"/>
    <col min="2" max="2" width="61.5546875" style="732" customWidth="1"/>
    <col min="3" max="3" width="10" style="765" bestFit="1" customWidth="1"/>
    <col min="4" max="4" width="6.6640625" style="731" bestFit="1" customWidth="1"/>
    <col min="5" max="5" width="11.109375" style="765" bestFit="1" customWidth="1"/>
    <col min="6" max="6" width="13.33203125" style="765" bestFit="1" customWidth="1"/>
    <col min="7" max="7" width="17.5546875" style="725" customWidth="1"/>
    <col min="8" max="251" width="11.44140625" style="725"/>
    <col min="252" max="252" width="8" style="725" customWidth="1"/>
    <col min="253" max="253" width="52.44140625" style="725" customWidth="1"/>
    <col min="254" max="254" width="9.33203125" style="725" customWidth="1"/>
    <col min="255" max="255" width="7.109375" style="725" customWidth="1"/>
    <col min="256" max="256" width="11.44140625" style="725" customWidth="1"/>
    <col min="257" max="257" width="12.44140625" style="725" customWidth="1"/>
    <col min="258" max="258" width="13.5546875" style="725" customWidth="1"/>
    <col min="259" max="507" width="11.44140625" style="725"/>
    <col min="508" max="508" width="8" style="725" customWidth="1"/>
    <col min="509" max="509" width="52.44140625" style="725" customWidth="1"/>
    <col min="510" max="510" width="9.33203125" style="725" customWidth="1"/>
    <col min="511" max="511" width="7.109375" style="725" customWidth="1"/>
    <col min="512" max="512" width="11.44140625" style="725" customWidth="1"/>
    <col min="513" max="513" width="12.44140625" style="725" customWidth="1"/>
    <col min="514" max="514" width="13.5546875" style="725" customWidth="1"/>
    <col min="515" max="763" width="11.44140625" style="725"/>
    <col min="764" max="764" width="8" style="725" customWidth="1"/>
    <col min="765" max="765" width="52.44140625" style="725" customWidth="1"/>
    <col min="766" max="766" width="9.33203125" style="725" customWidth="1"/>
    <col min="767" max="767" width="7.109375" style="725" customWidth="1"/>
    <col min="768" max="768" width="11.44140625" style="725" customWidth="1"/>
    <col min="769" max="769" width="12.44140625" style="725" customWidth="1"/>
    <col min="770" max="770" width="13.5546875" style="725" customWidth="1"/>
    <col min="771" max="1019" width="11.44140625" style="725"/>
    <col min="1020" max="1020" width="8" style="725" customWidth="1"/>
    <col min="1021" max="1021" width="52.44140625" style="725" customWidth="1"/>
    <col min="1022" max="1022" width="9.33203125" style="725" customWidth="1"/>
    <col min="1023" max="1023" width="7.109375" style="725" customWidth="1"/>
    <col min="1024" max="1024" width="11.44140625" style="725" customWidth="1"/>
    <col min="1025" max="1025" width="12.44140625" style="725" customWidth="1"/>
    <col min="1026" max="1026" width="13.5546875" style="725" customWidth="1"/>
    <col min="1027" max="1275" width="11.44140625" style="725"/>
    <col min="1276" max="1276" width="8" style="725" customWidth="1"/>
    <col min="1277" max="1277" width="52.44140625" style="725" customWidth="1"/>
    <col min="1278" max="1278" width="9.33203125" style="725" customWidth="1"/>
    <col min="1279" max="1279" width="7.109375" style="725" customWidth="1"/>
    <col min="1280" max="1280" width="11.44140625" style="725" customWidth="1"/>
    <col min="1281" max="1281" width="12.44140625" style="725" customWidth="1"/>
    <col min="1282" max="1282" width="13.5546875" style="725" customWidth="1"/>
    <col min="1283" max="1531" width="11.44140625" style="725"/>
    <col min="1532" max="1532" width="8" style="725" customWidth="1"/>
    <col min="1533" max="1533" width="52.44140625" style="725" customWidth="1"/>
    <col min="1534" max="1534" width="9.33203125" style="725" customWidth="1"/>
    <col min="1535" max="1535" width="7.109375" style="725" customWidth="1"/>
    <col min="1536" max="1536" width="11.44140625" style="725" customWidth="1"/>
    <col min="1537" max="1537" width="12.44140625" style="725" customWidth="1"/>
    <col min="1538" max="1538" width="13.5546875" style="725" customWidth="1"/>
    <col min="1539" max="1787" width="11.44140625" style="725"/>
    <col min="1788" max="1788" width="8" style="725" customWidth="1"/>
    <col min="1789" max="1789" width="52.44140625" style="725" customWidth="1"/>
    <col min="1790" max="1790" width="9.33203125" style="725" customWidth="1"/>
    <col min="1791" max="1791" width="7.109375" style="725" customWidth="1"/>
    <col min="1792" max="1792" width="11.44140625" style="725" customWidth="1"/>
    <col min="1793" max="1793" width="12.44140625" style="725" customWidth="1"/>
    <col min="1794" max="1794" width="13.5546875" style="725" customWidth="1"/>
    <col min="1795" max="2043" width="11.44140625" style="725"/>
    <col min="2044" max="2044" width="8" style="725" customWidth="1"/>
    <col min="2045" max="2045" width="52.44140625" style="725" customWidth="1"/>
    <col min="2046" max="2046" width="9.33203125" style="725" customWidth="1"/>
    <col min="2047" max="2047" width="7.109375" style="725" customWidth="1"/>
    <col min="2048" max="2048" width="11.44140625" style="725" customWidth="1"/>
    <col min="2049" max="2049" width="12.44140625" style="725" customWidth="1"/>
    <col min="2050" max="2050" width="13.5546875" style="725" customWidth="1"/>
    <col min="2051" max="2299" width="11.44140625" style="725"/>
    <col min="2300" max="2300" width="8" style="725" customWidth="1"/>
    <col min="2301" max="2301" width="52.44140625" style="725" customWidth="1"/>
    <col min="2302" max="2302" width="9.33203125" style="725" customWidth="1"/>
    <col min="2303" max="2303" width="7.109375" style="725" customWidth="1"/>
    <col min="2304" max="2304" width="11.44140625" style="725" customWidth="1"/>
    <col min="2305" max="2305" width="12.44140625" style="725" customWidth="1"/>
    <col min="2306" max="2306" width="13.5546875" style="725" customWidth="1"/>
    <col min="2307" max="2555" width="11.44140625" style="725"/>
    <col min="2556" max="2556" width="8" style="725" customWidth="1"/>
    <col min="2557" max="2557" width="52.44140625" style="725" customWidth="1"/>
    <col min="2558" max="2558" width="9.33203125" style="725" customWidth="1"/>
    <col min="2559" max="2559" width="7.109375" style="725" customWidth="1"/>
    <col min="2560" max="2560" width="11.44140625" style="725" customWidth="1"/>
    <col min="2561" max="2561" width="12.44140625" style="725" customWidth="1"/>
    <col min="2562" max="2562" width="13.5546875" style="725" customWidth="1"/>
    <col min="2563" max="2811" width="11.44140625" style="725"/>
    <col min="2812" max="2812" width="8" style="725" customWidth="1"/>
    <col min="2813" max="2813" width="52.44140625" style="725" customWidth="1"/>
    <col min="2814" max="2814" width="9.33203125" style="725" customWidth="1"/>
    <col min="2815" max="2815" width="7.109375" style="725" customWidth="1"/>
    <col min="2816" max="2816" width="11.44140625" style="725" customWidth="1"/>
    <col min="2817" max="2817" width="12.44140625" style="725" customWidth="1"/>
    <col min="2818" max="2818" width="13.5546875" style="725" customWidth="1"/>
    <col min="2819" max="3067" width="11.44140625" style="725"/>
    <col min="3068" max="3068" width="8" style="725" customWidth="1"/>
    <col min="3069" max="3069" width="52.44140625" style="725" customWidth="1"/>
    <col min="3070" max="3070" width="9.33203125" style="725" customWidth="1"/>
    <col min="3071" max="3071" width="7.109375" style="725" customWidth="1"/>
    <col min="3072" max="3072" width="11.44140625" style="725" customWidth="1"/>
    <col min="3073" max="3073" width="12.44140625" style="725" customWidth="1"/>
    <col min="3074" max="3074" width="13.5546875" style="725" customWidth="1"/>
    <col min="3075" max="3323" width="11.44140625" style="725"/>
    <col min="3324" max="3324" width="8" style="725" customWidth="1"/>
    <col min="3325" max="3325" width="52.44140625" style="725" customWidth="1"/>
    <col min="3326" max="3326" width="9.33203125" style="725" customWidth="1"/>
    <col min="3327" max="3327" width="7.109375" style="725" customWidth="1"/>
    <col min="3328" max="3328" width="11.44140625" style="725" customWidth="1"/>
    <col min="3329" max="3329" width="12.44140625" style="725" customWidth="1"/>
    <col min="3330" max="3330" width="13.5546875" style="725" customWidth="1"/>
    <col min="3331" max="3579" width="11.44140625" style="725"/>
    <col min="3580" max="3580" width="8" style="725" customWidth="1"/>
    <col min="3581" max="3581" width="52.44140625" style="725" customWidth="1"/>
    <col min="3582" max="3582" width="9.33203125" style="725" customWidth="1"/>
    <col min="3583" max="3583" width="7.109375" style="725" customWidth="1"/>
    <col min="3584" max="3584" width="11.44140625" style="725" customWidth="1"/>
    <col min="3585" max="3585" width="12.44140625" style="725" customWidth="1"/>
    <col min="3586" max="3586" width="13.5546875" style="725" customWidth="1"/>
    <col min="3587" max="3835" width="11.44140625" style="725"/>
    <col min="3836" max="3836" width="8" style="725" customWidth="1"/>
    <col min="3837" max="3837" width="52.44140625" style="725" customWidth="1"/>
    <col min="3838" max="3838" width="9.33203125" style="725" customWidth="1"/>
    <col min="3839" max="3839" width="7.109375" style="725" customWidth="1"/>
    <col min="3840" max="3840" width="11.44140625" style="725" customWidth="1"/>
    <col min="3841" max="3841" width="12.44140625" style="725" customWidth="1"/>
    <col min="3842" max="3842" width="13.5546875" style="725" customWidth="1"/>
    <col min="3843" max="4091" width="11.44140625" style="725"/>
    <col min="4092" max="4092" width="8" style="725" customWidth="1"/>
    <col min="4093" max="4093" width="52.44140625" style="725" customWidth="1"/>
    <col min="4094" max="4094" width="9.33203125" style="725" customWidth="1"/>
    <col min="4095" max="4095" width="7.109375" style="725" customWidth="1"/>
    <col min="4096" max="4096" width="11.44140625" style="725" customWidth="1"/>
    <col min="4097" max="4097" width="12.44140625" style="725" customWidth="1"/>
    <col min="4098" max="4098" width="13.5546875" style="725" customWidth="1"/>
    <col min="4099" max="4347" width="11.44140625" style="725"/>
    <col min="4348" max="4348" width="8" style="725" customWidth="1"/>
    <col min="4349" max="4349" width="52.44140625" style="725" customWidth="1"/>
    <col min="4350" max="4350" width="9.33203125" style="725" customWidth="1"/>
    <col min="4351" max="4351" width="7.109375" style="725" customWidth="1"/>
    <col min="4352" max="4352" width="11.44140625" style="725" customWidth="1"/>
    <col min="4353" max="4353" width="12.44140625" style="725" customWidth="1"/>
    <col min="4354" max="4354" width="13.5546875" style="725" customWidth="1"/>
    <col min="4355" max="4603" width="11.44140625" style="725"/>
    <col min="4604" max="4604" width="8" style="725" customWidth="1"/>
    <col min="4605" max="4605" width="52.44140625" style="725" customWidth="1"/>
    <col min="4606" max="4606" width="9.33203125" style="725" customWidth="1"/>
    <col min="4607" max="4607" width="7.109375" style="725" customWidth="1"/>
    <col min="4608" max="4608" width="11.44140625" style="725" customWidth="1"/>
    <col min="4609" max="4609" width="12.44140625" style="725" customWidth="1"/>
    <col min="4610" max="4610" width="13.5546875" style="725" customWidth="1"/>
    <col min="4611" max="4859" width="11.44140625" style="725"/>
    <col min="4860" max="4860" width="8" style="725" customWidth="1"/>
    <col min="4861" max="4861" width="52.44140625" style="725" customWidth="1"/>
    <col min="4862" max="4862" width="9.33203125" style="725" customWidth="1"/>
    <col min="4863" max="4863" width="7.109375" style="725" customWidth="1"/>
    <col min="4864" max="4864" width="11.44140625" style="725" customWidth="1"/>
    <col min="4865" max="4865" width="12.44140625" style="725" customWidth="1"/>
    <col min="4866" max="4866" width="13.5546875" style="725" customWidth="1"/>
    <col min="4867" max="5115" width="11.44140625" style="725"/>
    <col min="5116" max="5116" width="8" style="725" customWidth="1"/>
    <col min="5117" max="5117" width="52.44140625" style="725" customWidth="1"/>
    <col min="5118" max="5118" width="9.33203125" style="725" customWidth="1"/>
    <col min="5119" max="5119" width="7.109375" style="725" customWidth="1"/>
    <col min="5120" max="5120" width="11.44140625" style="725" customWidth="1"/>
    <col min="5121" max="5121" width="12.44140625" style="725" customWidth="1"/>
    <col min="5122" max="5122" width="13.5546875" style="725" customWidth="1"/>
    <col min="5123" max="5371" width="11.44140625" style="725"/>
    <col min="5372" max="5372" width="8" style="725" customWidth="1"/>
    <col min="5373" max="5373" width="52.44140625" style="725" customWidth="1"/>
    <col min="5374" max="5374" width="9.33203125" style="725" customWidth="1"/>
    <col min="5375" max="5375" width="7.109375" style="725" customWidth="1"/>
    <col min="5376" max="5376" width="11.44140625" style="725" customWidth="1"/>
    <col min="5377" max="5377" width="12.44140625" style="725" customWidth="1"/>
    <col min="5378" max="5378" width="13.5546875" style="725" customWidth="1"/>
    <col min="5379" max="5627" width="11.44140625" style="725"/>
    <col min="5628" max="5628" width="8" style="725" customWidth="1"/>
    <col min="5629" max="5629" width="52.44140625" style="725" customWidth="1"/>
    <col min="5630" max="5630" width="9.33203125" style="725" customWidth="1"/>
    <col min="5631" max="5631" width="7.109375" style="725" customWidth="1"/>
    <col min="5632" max="5632" width="11.44140625" style="725" customWidth="1"/>
    <col min="5633" max="5633" width="12.44140625" style="725" customWidth="1"/>
    <col min="5634" max="5634" width="13.5546875" style="725" customWidth="1"/>
    <col min="5635" max="5883" width="11.44140625" style="725"/>
    <col min="5884" max="5884" width="8" style="725" customWidth="1"/>
    <col min="5885" max="5885" width="52.44140625" style="725" customWidth="1"/>
    <col min="5886" max="5886" width="9.33203125" style="725" customWidth="1"/>
    <col min="5887" max="5887" width="7.109375" style="725" customWidth="1"/>
    <col min="5888" max="5888" width="11.44140625" style="725" customWidth="1"/>
    <col min="5889" max="5889" width="12.44140625" style="725" customWidth="1"/>
    <col min="5890" max="5890" width="13.5546875" style="725" customWidth="1"/>
    <col min="5891" max="6139" width="11.44140625" style="725"/>
    <col min="6140" max="6140" width="8" style="725" customWidth="1"/>
    <col min="6141" max="6141" width="52.44140625" style="725" customWidth="1"/>
    <col min="6142" max="6142" width="9.33203125" style="725" customWidth="1"/>
    <col min="6143" max="6143" width="7.109375" style="725" customWidth="1"/>
    <col min="6144" max="6144" width="11.44140625" style="725" customWidth="1"/>
    <col min="6145" max="6145" width="12.44140625" style="725" customWidth="1"/>
    <col min="6146" max="6146" width="13.5546875" style="725" customWidth="1"/>
    <col min="6147" max="6395" width="11.44140625" style="725"/>
    <col min="6396" max="6396" width="8" style="725" customWidth="1"/>
    <col min="6397" max="6397" width="52.44140625" style="725" customWidth="1"/>
    <col min="6398" max="6398" width="9.33203125" style="725" customWidth="1"/>
    <col min="6399" max="6399" width="7.109375" style="725" customWidth="1"/>
    <col min="6400" max="6400" width="11.44140625" style="725" customWidth="1"/>
    <col min="6401" max="6401" width="12.44140625" style="725" customWidth="1"/>
    <col min="6402" max="6402" width="13.5546875" style="725" customWidth="1"/>
    <col min="6403" max="6651" width="11.44140625" style="725"/>
    <col min="6652" max="6652" width="8" style="725" customWidth="1"/>
    <col min="6653" max="6653" width="52.44140625" style="725" customWidth="1"/>
    <col min="6654" max="6654" width="9.33203125" style="725" customWidth="1"/>
    <col min="6655" max="6655" width="7.109375" style="725" customWidth="1"/>
    <col min="6656" max="6656" width="11.44140625" style="725" customWidth="1"/>
    <col min="6657" max="6657" width="12.44140625" style="725" customWidth="1"/>
    <col min="6658" max="6658" width="13.5546875" style="725" customWidth="1"/>
    <col min="6659" max="6907" width="11.44140625" style="725"/>
    <col min="6908" max="6908" width="8" style="725" customWidth="1"/>
    <col min="6909" max="6909" width="52.44140625" style="725" customWidth="1"/>
    <col min="6910" max="6910" width="9.33203125" style="725" customWidth="1"/>
    <col min="6911" max="6911" width="7.109375" style="725" customWidth="1"/>
    <col min="6912" max="6912" width="11.44140625" style="725" customWidth="1"/>
    <col min="6913" max="6913" width="12.44140625" style="725" customWidth="1"/>
    <col min="6914" max="6914" width="13.5546875" style="725" customWidth="1"/>
    <col min="6915" max="7163" width="11.44140625" style="725"/>
    <col min="7164" max="7164" width="8" style="725" customWidth="1"/>
    <col min="7165" max="7165" width="52.44140625" style="725" customWidth="1"/>
    <col min="7166" max="7166" width="9.33203125" style="725" customWidth="1"/>
    <col min="7167" max="7167" width="7.109375" style="725" customWidth="1"/>
    <col min="7168" max="7168" width="11.44140625" style="725" customWidth="1"/>
    <col min="7169" max="7169" width="12.44140625" style="725" customWidth="1"/>
    <col min="7170" max="7170" width="13.5546875" style="725" customWidth="1"/>
    <col min="7171" max="7419" width="11.44140625" style="725"/>
    <col min="7420" max="7420" width="8" style="725" customWidth="1"/>
    <col min="7421" max="7421" width="52.44140625" style="725" customWidth="1"/>
    <col min="7422" max="7422" width="9.33203125" style="725" customWidth="1"/>
    <col min="7423" max="7423" width="7.109375" style="725" customWidth="1"/>
    <col min="7424" max="7424" width="11.44140625" style="725" customWidth="1"/>
    <col min="7425" max="7425" width="12.44140625" style="725" customWidth="1"/>
    <col min="7426" max="7426" width="13.5546875" style="725" customWidth="1"/>
    <col min="7427" max="7675" width="11.44140625" style="725"/>
    <col min="7676" max="7676" width="8" style="725" customWidth="1"/>
    <col min="7677" max="7677" width="52.44140625" style="725" customWidth="1"/>
    <col min="7678" max="7678" width="9.33203125" style="725" customWidth="1"/>
    <col min="7679" max="7679" width="7.109375" style="725" customWidth="1"/>
    <col min="7680" max="7680" width="11.44140625" style="725" customWidth="1"/>
    <col min="7681" max="7681" width="12.44140625" style="725" customWidth="1"/>
    <col min="7682" max="7682" width="13.5546875" style="725" customWidth="1"/>
    <col min="7683" max="7931" width="11.44140625" style="725"/>
    <col min="7932" max="7932" width="8" style="725" customWidth="1"/>
    <col min="7933" max="7933" width="52.44140625" style="725" customWidth="1"/>
    <col min="7934" max="7934" width="9.33203125" style="725" customWidth="1"/>
    <col min="7935" max="7935" width="7.109375" style="725" customWidth="1"/>
    <col min="7936" max="7936" width="11.44140625" style="725" customWidth="1"/>
    <col min="7937" max="7937" width="12.44140625" style="725" customWidth="1"/>
    <col min="7938" max="7938" width="13.5546875" style="725" customWidth="1"/>
    <col min="7939" max="8187" width="11.44140625" style="725"/>
    <col min="8188" max="8188" width="8" style="725" customWidth="1"/>
    <col min="8189" max="8189" width="52.44140625" style="725" customWidth="1"/>
    <col min="8190" max="8190" width="9.33203125" style="725" customWidth="1"/>
    <col min="8191" max="8191" width="7.109375" style="725" customWidth="1"/>
    <col min="8192" max="8192" width="11.44140625" style="725" customWidth="1"/>
    <col min="8193" max="8193" width="12.44140625" style="725" customWidth="1"/>
    <col min="8194" max="8194" width="13.5546875" style="725" customWidth="1"/>
    <col min="8195" max="8443" width="11.44140625" style="725"/>
    <col min="8444" max="8444" width="8" style="725" customWidth="1"/>
    <col min="8445" max="8445" width="52.44140625" style="725" customWidth="1"/>
    <col min="8446" max="8446" width="9.33203125" style="725" customWidth="1"/>
    <col min="8447" max="8447" width="7.109375" style="725" customWidth="1"/>
    <col min="8448" max="8448" width="11.44140625" style="725" customWidth="1"/>
    <col min="8449" max="8449" width="12.44140625" style="725" customWidth="1"/>
    <col min="8450" max="8450" width="13.5546875" style="725" customWidth="1"/>
    <col min="8451" max="8699" width="11.44140625" style="725"/>
    <col min="8700" max="8700" width="8" style="725" customWidth="1"/>
    <col min="8701" max="8701" width="52.44140625" style="725" customWidth="1"/>
    <col min="8702" max="8702" width="9.33203125" style="725" customWidth="1"/>
    <col min="8703" max="8703" width="7.109375" style="725" customWidth="1"/>
    <col min="8704" max="8704" width="11.44140625" style="725" customWidth="1"/>
    <col min="8705" max="8705" width="12.44140625" style="725" customWidth="1"/>
    <col min="8706" max="8706" width="13.5546875" style="725" customWidth="1"/>
    <col min="8707" max="8955" width="11.44140625" style="725"/>
    <col min="8956" max="8956" width="8" style="725" customWidth="1"/>
    <col min="8957" max="8957" width="52.44140625" style="725" customWidth="1"/>
    <col min="8958" max="8958" width="9.33203125" style="725" customWidth="1"/>
    <col min="8959" max="8959" width="7.109375" style="725" customWidth="1"/>
    <col min="8960" max="8960" width="11.44140625" style="725" customWidth="1"/>
    <col min="8961" max="8961" width="12.44140625" style="725" customWidth="1"/>
    <col min="8962" max="8962" width="13.5546875" style="725" customWidth="1"/>
    <col min="8963" max="9211" width="11.44140625" style="725"/>
    <col min="9212" max="9212" width="8" style="725" customWidth="1"/>
    <col min="9213" max="9213" width="52.44140625" style="725" customWidth="1"/>
    <col min="9214" max="9214" width="9.33203125" style="725" customWidth="1"/>
    <col min="9215" max="9215" width="7.109375" style="725" customWidth="1"/>
    <col min="9216" max="9216" width="11.44140625" style="725" customWidth="1"/>
    <col min="9217" max="9217" width="12.44140625" style="725" customWidth="1"/>
    <col min="9218" max="9218" width="13.5546875" style="725" customWidth="1"/>
    <col min="9219" max="9467" width="11.44140625" style="725"/>
    <col min="9468" max="9468" width="8" style="725" customWidth="1"/>
    <col min="9469" max="9469" width="52.44140625" style="725" customWidth="1"/>
    <col min="9470" max="9470" width="9.33203125" style="725" customWidth="1"/>
    <col min="9471" max="9471" width="7.109375" style="725" customWidth="1"/>
    <col min="9472" max="9472" width="11.44140625" style="725" customWidth="1"/>
    <col min="9473" max="9473" width="12.44140625" style="725" customWidth="1"/>
    <col min="9474" max="9474" width="13.5546875" style="725" customWidth="1"/>
    <col min="9475" max="9723" width="11.44140625" style="725"/>
    <col min="9724" max="9724" width="8" style="725" customWidth="1"/>
    <col min="9725" max="9725" width="52.44140625" style="725" customWidth="1"/>
    <col min="9726" max="9726" width="9.33203125" style="725" customWidth="1"/>
    <col min="9727" max="9727" width="7.109375" style="725" customWidth="1"/>
    <col min="9728" max="9728" width="11.44140625" style="725" customWidth="1"/>
    <col min="9729" max="9729" width="12.44140625" style="725" customWidth="1"/>
    <col min="9730" max="9730" width="13.5546875" style="725" customWidth="1"/>
    <col min="9731" max="9979" width="11.44140625" style="725"/>
    <col min="9980" max="9980" width="8" style="725" customWidth="1"/>
    <col min="9981" max="9981" width="52.44140625" style="725" customWidth="1"/>
    <col min="9982" max="9982" width="9.33203125" style="725" customWidth="1"/>
    <col min="9983" max="9983" width="7.109375" style="725" customWidth="1"/>
    <col min="9984" max="9984" width="11.44140625" style="725" customWidth="1"/>
    <col min="9985" max="9985" width="12.44140625" style="725" customWidth="1"/>
    <col min="9986" max="9986" width="13.5546875" style="725" customWidth="1"/>
    <col min="9987" max="10235" width="11.44140625" style="725"/>
    <col min="10236" max="10236" width="8" style="725" customWidth="1"/>
    <col min="10237" max="10237" width="52.44140625" style="725" customWidth="1"/>
    <col min="10238" max="10238" width="9.33203125" style="725" customWidth="1"/>
    <col min="10239" max="10239" width="7.109375" style="725" customWidth="1"/>
    <col min="10240" max="10240" width="11.44140625" style="725" customWidth="1"/>
    <col min="10241" max="10241" width="12.44140625" style="725" customWidth="1"/>
    <col min="10242" max="10242" width="13.5546875" style="725" customWidth="1"/>
    <col min="10243" max="10491" width="11.44140625" style="725"/>
    <col min="10492" max="10492" width="8" style="725" customWidth="1"/>
    <col min="10493" max="10493" width="52.44140625" style="725" customWidth="1"/>
    <col min="10494" max="10494" width="9.33203125" style="725" customWidth="1"/>
    <col min="10495" max="10495" width="7.109375" style="725" customWidth="1"/>
    <col min="10496" max="10496" width="11.44140625" style="725" customWidth="1"/>
    <col min="10497" max="10497" width="12.44140625" style="725" customWidth="1"/>
    <col min="10498" max="10498" width="13.5546875" style="725" customWidth="1"/>
    <col min="10499" max="10747" width="11.44140625" style="725"/>
    <col min="10748" max="10748" width="8" style="725" customWidth="1"/>
    <col min="10749" max="10749" width="52.44140625" style="725" customWidth="1"/>
    <col min="10750" max="10750" width="9.33203125" style="725" customWidth="1"/>
    <col min="10751" max="10751" width="7.109375" style="725" customWidth="1"/>
    <col min="10752" max="10752" width="11.44140625" style="725" customWidth="1"/>
    <col min="10753" max="10753" width="12.44140625" style="725" customWidth="1"/>
    <col min="10754" max="10754" width="13.5546875" style="725" customWidth="1"/>
    <col min="10755" max="11003" width="11.44140625" style="725"/>
    <col min="11004" max="11004" width="8" style="725" customWidth="1"/>
    <col min="11005" max="11005" width="52.44140625" style="725" customWidth="1"/>
    <col min="11006" max="11006" width="9.33203125" style="725" customWidth="1"/>
    <col min="11007" max="11007" width="7.109375" style="725" customWidth="1"/>
    <col min="11008" max="11008" width="11.44140625" style="725" customWidth="1"/>
    <col min="11009" max="11009" width="12.44140625" style="725" customWidth="1"/>
    <col min="11010" max="11010" width="13.5546875" style="725" customWidth="1"/>
    <col min="11011" max="11259" width="11.44140625" style="725"/>
    <col min="11260" max="11260" width="8" style="725" customWidth="1"/>
    <col min="11261" max="11261" width="52.44140625" style="725" customWidth="1"/>
    <col min="11262" max="11262" width="9.33203125" style="725" customWidth="1"/>
    <col min="11263" max="11263" width="7.109375" style="725" customWidth="1"/>
    <col min="11264" max="11264" width="11.44140625" style="725" customWidth="1"/>
    <col min="11265" max="11265" width="12.44140625" style="725" customWidth="1"/>
    <col min="11266" max="11266" width="13.5546875" style="725" customWidth="1"/>
    <col min="11267" max="11515" width="11.44140625" style="725"/>
    <col min="11516" max="11516" width="8" style="725" customWidth="1"/>
    <col min="11517" max="11517" width="52.44140625" style="725" customWidth="1"/>
    <col min="11518" max="11518" width="9.33203125" style="725" customWidth="1"/>
    <col min="11519" max="11519" width="7.109375" style="725" customWidth="1"/>
    <col min="11520" max="11520" width="11.44140625" style="725" customWidth="1"/>
    <col min="11521" max="11521" width="12.44140625" style="725" customWidth="1"/>
    <col min="11522" max="11522" width="13.5546875" style="725" customWidth="1"/>
    <col min="11523" max="11771" width="11.44140625" style="725"/>
    <col min="11772" max="11772" width="8" style="725" customWidth="1"/>
    <col min="11773" max="11773" width="52.44140625" style="725" customWidth="1"/>
    <col min="11774" max="11774" width="9.33203125" style="725" customWidth="1"/>
    <col min="11775" max="11775" width="7.109375" style="725" customWidth="1"/>
    <col min="11776" max="11776" width="11.44140625" style="725" customWidth="1"/>
    <col min="11777" max="11777" width="12.44140625" style="725" customWidth="1"/>
    <col min="11778" max="11778" width="13.5546875" style="725" customWidth="1"/>
    <col min="11779" max="12027" width="11.44140625" style="725"/>
    <col min="12028" max="12028" width="8" style="725" customWidth="1"/>
    <col min="12029" max="12029" width="52.44140625" style="725" customWidth="1"/>
    <col min="12030" max="12030" width="9.33203125" style="725" customWidth="1"/>
    <col min="12031" max="12031" width="7.109375" style="725" customWidth="1"/>
    <col min="12032" max="12032" width="11.44140625" style="725" customWidth="1"/>
    <col min="12033" max="12033" width="12.44140625" style="725" customWidth="1"/>
    <col min="12034" max="12034" width="13.5546875" style="725" customWidth="1"/>
    <col min="12035" max="12283" width="11.44140625" style="725"/>
    <col min="12284" max="12284" width="8" style="725" customWidth="1"/>
    <col min="12285" max="12285" width="52.44140625" style="725" customWidth="1"/>
    <col min="12286" max="12286" width="9.33203125" style="725" customWidth="1"/>
    <col min="12287" max="12287" width="7.109375" style="725" customWidth="1"/>
    <col min="12288" max="12288" width="11.44140625" style="725" customWidth="1"/>
    <col min="12289" max="12289" width="12.44140625" style="725" customWidth="1"/>
    <col min="12290" max="12290" width="13.5546875" style="725" customWidth="1"/>
    <col min="12291" max="12539" width="11.44140625" style="725"/>
    <col min="12540" max="12540" width="8" style="725" customWidth="1"/>
    <col min="12541" max="12541" width="52.44140625" style="725" customWidth="1"/>
    <col min="12542" max="12542" width="9.33203125" style="725" customWidth="1"/>
    <col min="12543" max="12543" width="7.109375" style="725" customWidth="1"/>
    <col min="12544" max="12544" width="11.44140625" style="725" customWidth="1"/>
    <col min="12545" max="12545" width="12.44140625" style="725" customWidth="1"/>
    <col min="12546" max="12546" width="13.5546875" style="725" customWidth="1"/>
    <col min="12547" max="12795" width="11.44140625" style="725"/>
    <col min="12796" max="12796" width="8" style="725" customWidth="1"/>
    <col min="12797" max="12797" width="52.44140625" style="725" customWidth="1"/>
    <col min="12798" max="12798" width="9.33203125" style="725" customWidth="1"/>
    <col min="12799" max="12799" width="7.109375" style="725" customWidth="1"/>
    <col min="12800" max="12800" width="11.44140625" style="725" customWidth="1"/>
    <col min="12801" max="12801" width="12.44140625" style="725" customWidth="1"/>
    <col min="12802" max="12802" width="13.5546875" style="725" customWidth="1"/>
    <col min="12803" max="13051" width="11.44140625" style="725"/>
    <col min="13052" max="13052" width="8" style="725" customWidth="1"/>
    <col min="13053" max="13053" width="52.44140625" style="725" customWidth="1"/>
    <col min="13054" max="13054" width="9.33203125" style="725" customWidth="1"/>
    <col min="13055" max="13055" width="7.109375" style="725" customWidth="1"/>
    <col min="13056" max="13056" width="11.44140625" style="725" customWidth="1"/>
    <col min="13057" max="13057" width="12.44140625" style="725" customWidth="1"/>
    <col min="13058" max="13058" width="13.5546875" style="725" customWidth="1"/>
    <col min="13059" max="13307" width="11.44140625" style="725"/>
    <col min="13308" max="13308" width="8" style="725" customWidth="1"/>
    <col min="13309" max="13309" width="52.44140625" style="725" customWidth="1"/>
    <col min="13310" max="13310" width="9.33203125" style="725" customWidth="1"/>
    <col min="13311" max="13311" width="7.109375" style="725" customWidth="1"/>
    <col min="13312" max="13312" width="11.44140625" style="725" customWidth="1"/>
    <col min="13313" max="13313" width="12.44140625" style="725" customWidth="1"/>
    <col min="13314" max="13314" width="13.5546875" style="725" customWidth="1"/>
    <col min="13315" max="13563" width="11.44140625" style="725"/>
    <col min="13564" max="13564" width="8" style="725" customWidth="1"/>
    <col min="13565" max="13565" width="52.44140625" style="725" customWidth="1"/>
    <col min="13566" max="13566" width="9.33203125" style="725" customWidth="1"/>
    <col min="13567" max="13567" width="7.109375" style="725" customWidth="1"/>
    <col min="13568" max="13568" width="11.44140625" style="725" customWidth="1"/>
    <col min="13569" max="13569" width="12.44140625" style="725" customWidth="1"/>
    <col min="13570" max="13570" width="13.5546875" style="725" customWidth="1"/>
    <col min="13571" max="13819" width="11.44140625" style="725"/>
    <col min="13820" max="13820" width="8" style="725" customWidth="1"/>
    <col min="13821" max="13821" width="52.44140625" style="725" customWidth="1"/>
    <col min="13822" max="13822" width="9.33203125" style="725" customWidth="1"/>
    <col min="13823" max="13823" width="7.109375" style="725" customWidth="1"/>
    <col min="13824" max="13824" width="11.44140625" style="725" customWidth="1"/>
    <col min="13825" max="13825" width="12.44140625" style="725" customWidth="1"/>
    <col min="13826" max="13826" width="13.5546875" style="725" customWidth="1"/>
    <col min="13827" max="14075" width="11.44140625" style="725"/>
    <col min="14076" max="14076" width="8" style="725" customWidth="1"/>
    <col min="14077" max="14077" width="52.44140625" style="725" customWidth="1"/>
    <col min="14078" max="14078" width="9.33203125" style="725" customWidth="1"/>
    <col min="14079" max="14079" width="7.109375" style="725" customWidth="1"/>
    <col min="14080" max="14080" width="11.44140625" style="725" customWidth="1"/>
    <col min="14081" max="14081" width="12.44140625" style="725" customWidth="1"/>
    <col min="14082" max="14082" width="13.5546875" style="725" customWidth="1"/>
    <col min="14083" max="14331" width="11.44140625" style="725"/>
    <col min="14332" max="14332" width="8" style="725" customWidth="1"/>
    <col min="14333" max="14333" width="52.44140625" style="725" customWidth="1"/>
    <col min="14334" max="14334" width="9.33203125" style="725" customWidth="1"/>
    <col min="14335" max="14335" width="7.109375" style="725" customWidth="1"/>
    <col min="14336" max="14336" width="11.44140625" style="725" customWidth="1"/>
    <col min="14337" max="14337" width="12.44140625" style="725" customWidth="1"/>
    <col min="14338" max="14338" width="13.5546875" style="725" customWidth="1"/>
    <col min="14339" max="14587" width="11.44140625" style="725"/>
    <col min="14588" max="14588" width="8" style="725" customWidth="1"/>
    <col min="14589" max="14589" width="52.44140625" style="725" customWidth="1"/>
    <col min="14590" max="14590" width="9.33203125" style="725" customWidth="1"/>
    <col min="14591" max="14591" width="7.109375" style="725" customWidth="1"/>
    <col min="14592" max="14592" width="11.44140625" style="725" customWidth="1"/>
    <col min="14593" max="14593" width="12.44140625" style="725" customWidth="1"/>
    <col min="14594" max="14594" width="13.5546875" style="725" customWidth="1"/>
    <col min="14595" max="14843" width="11.44140625" style="725"/>
    <col min="14844" max="14844" width="8" style="725" customWidth="1"/>
    <col min="14845" max="14845" width="52.44140625" style="725" customWidth="1"/>
    <col min="14846" max="14846" width="9.33203125" style="725" customWidth="1"/>
    <col min="14847" max="14847" width="7.109375" style="725" customWidth="1"/>
    <col min="14848" max="14848" width="11.44140625" style="725" customWidth="1"/>
    <col min="14849" max="14849" width="12.44140625" style="725" customWidth="1"/>
    <col min="14850" max="14850" width="13.5546875" style="725" customWidth="1"/>
    <col min="14851" max="15099" width="11.44140625" style="725"/>
    <col min="15100" max="15100" width="8" style="725" customWidth="1"/>
    <col min="15101" max="15101" width="52.44140625" style="725" customWidth="1"/>
    <col min="15102" max="15102" width="9.33203125" style="725" customWidth="1"/>
    <col min="15103" max="15103" width="7.109375" style="725" customWidth="1"/>
    <col min="15104" max="15104" width="11.44140625" style="725" customWidth="1"/>
    <col min="15105" max="15105" width="12.44140625" style="725" customWidth="1"/>
    <col min="15106" max="15106" width="13.5546875" style="725" customWidth="1"/>
    <col min="15107" max="15355" width="11.44140625" style="725"/>
    <col min="15356" max="15356" width="8" style="725" customWidth="1"/>
    <col min="15357" max="15357" width="52.44140625" style="725" customWidth="1"/>
    <col min="15358" max="15358" width="9.33203125" style="725" customWidth="1"/>
    <col min="15359" max="15359" width="7.109375" style="725" customWidth="1"/>
    <col min="15360" max="15360" width="11.44140625" style="725" customWidth="1"/>
    <col min="15361" max="15361" width="12.44140625" style="725" customWidth="1"/>
    <col min="15362" max="15362" width="13.5546875" style="725" customWidth="1"/>
    <col min="15363" max="15611" width="11.44140625" style="725"/>
    <col min="15612" max="15612" width="8" style="725" customWidth="1"/>
    <col min="15613" max="15613" width="52.44140625" style="725" customWidth="1"/>
    <col min="15614" max="15614" width="9.33203125" style="725" customWidth="1"/>
    <col min="15615" max="15615" width="7.109375" style="725" customWidth="1"/>
    <col min="15616" max="15616" width="11.44140625" style="725" customWidth="1"/>
    <col min="15617" max="15617" width="12.44140625" style="725" customWidth="1"/>
    <col min="15618" max="15618" width="13.5546875" style="725" customWidth="1"/>
    <col min="15619" max="15867" width="11.44140625" style="725"/>
    <col min="15868" max="15868" width="8" style="725" customWidth="1"/>
    <col min="15869" max="15869" width="52.44140625" style="725" customWidth="1"/>
    <col min="15870" max="15870" width="9.33203125" style="725" customWidth="1"/>
    <col min="15871" max="15871" width="7.109375" style="725" customWidth="1"/>
    <col min="15872" max="15872" width="11.44140625" style="725" customWidth="1"/>
    <col min="15873" max="15873" width="12.44140625" style="725" customWidth="1"/>
    <col min="15874" max="15874" width="13.5546875" style="725" customWidth="1"/>
    <col min="15875" max="16123" width="11.44140625" style="725"/>
    <col min="16124" max="16124" width="8" style="725" customWidth="1"/>
    <col min="16125" max="16125" width="52.44140625" style="725" customWidth="1"/>
    <col min="16126" max="16126" width="9.33203125" style="725" customWidth="1"/>
    <col min="16127" max="16127" width="7.109375" style="725" customWidth="1"/>
    <col min="16128" max="16128" width="11.44140625" style="725" customWidth="1"/>
    <col min="16129" max="16129" width="12.44140625" style="725" customWidth="1"/>
    <col min="16130" max="16130" width="13.5546875" style="725" customWidth="1"/>
    <col min="16131" max="16380" width="11.44140625" style="725"/>
    <col min="16381" max="16384" width="11.44140625" style="725" customWidth="1"/>
  </cols>
  <sheetData>
    <row r="1" spans="1:7" s="726" customFormat="1" x14ac:dyDescent="0.3">
      <c r="A1" s="766"/>
      <c r="B1" s="728"/>
      <c r="C1" s="729"/>
      <c r="D1" s="730"/>
      <c r="E1" s="729"/>
      <c r="F1" s="729"/>
    </row>
    <row r="2" spans="1:7" s="726" customFormat="1" ht="17.399999999999999" x14ac:dyDescent="0.3">
      <c r="A2" s="883" t="s">
        <v>442</v>
      </c>
      <c r="B2" s="883"/>
      <c r="C2" s="883"/>
      <c r="D2" s="883"/>
      <c r="E2" s="883"/>
      <c r="F2" s="883"/>
    </row>
    <row r="3" spans="1:7" s="726" customFormat="1" ht="17.399999999999999" x14ac:dyDescent="0.3">
      <c r="A3" s="884" t="s">
        <v>443</v>
      </c>
      <c r="B3" s="884"/>
      <c r="C3" s="884"/>
      <c r="D3" s="884"/>
      <c r="E3" s="884"/>
      <c r="F3" s="884"/>
    </row>
    <row r="4" spans="1:7" s="726" customFormat="1" ht="15.6" x14ac:dyDescent="0.3">
      <c r="A4" s="885" t="s">
        <v>128</v>
      </c>
      <c r="B4" s="885"/>
      <c r="C4" s="885"/>
      <c r="D4" s="885"/>
      <c r="E4" s="885"/>
      <c r="F4" s="885"/>
    </row>
    <row r="5" spans="1:7" s="726" customFormat="1" x14ac:dyDescent="0.3">
      <c r="A5" s="766"/>
      <c r="B5" s="728"/>
      <c r="C5" s="729"/>
      <c r="D5" s="730"/>
      <c r="E5" s="729"/>
      <c r="F5" s="729"/>
    </row>
    <row r="6" spans="1:7" s="726" customFormat="1" ht="20.25" customHeight="1" x14ac:dyDescent="0.3">
      <c r="A6" s="830" t="s">
        <v>834</v>
      </c>
      <c r="B6" s="888" t="s">
        <v>849</v>
      </c>
      <c r="C6" s="888"/>
      <c r="D6" s="888"/>
      <c r="E6" s="888"/>
      <c r="F6" s="830"/>
    </row>
    <row r="7" spans="1:7" s="726" customFormat="1" ht="15.6" customHeight="1" x14ac:dyDescent="0.3">
      <c r="A7" s="813" t="s">
        <v>850</v>
      </c>
      <c r="B7" s="812" t="s">
        <v>851</v>
      </c>
      <c r="C7" s="812"/>
      <c r="D7" s="814"/>
      <c r="E7" s="815" t="s">
        <v>835</v>
      </c>
      <c r="F7" s="816">
        <f>F53</f>
        <v>0</v>
      </c>
      <c r="G7" s="833"/>
    </row>
    <row r="8" spans="1:7" s="726" customFormat="1" ht="15" thickBot="1" x14ac:dyDescent="0.35">
      <c r="A8" s="817" t="s">
        <v>833</v>
      </c>
      <c r="B8" s="818" t="s">
        <v>817</v>
      </c>
      <c r="C8" s="819"/>
      <c r="D8" s="820"/>
      <c r="E8" s="872" t="s">
        <v>853</v>
      </c>
      <c r="F8" s="872"/>
    </row>
    <row r="9" spans="1:7" s="727" customFormat="1" ht="15" thickTop="1" x14ac:dyDescent="0.3">
      <c r="A9" s="834" t="s">
        <v>19</v>
      </c>
      <c r="B9" s="835" t="s">
        <v>30</v>
      </c>
      <c r="C9" s="836" t="s">
        <v>2</v>
      </c>
      <c r="D9" s="836" t="s">
        <v>1</v>
      </c>
      <c r="E9" s="836" t="s">
        <v>20</v>
      </c>
      <c r="F9" s="837" t="s">
        <v>21</v>
      </c>
    </row>
    <row r="10" spans="1:7" s="727" customFormat="1" x14ac:dyDescent="0.3">
      <c r="A10" s="838"/>
      <c r="B10" s="839"/>
      <c r="C10" s="840"/>
      <c r="D10" s="841"/>
      <c r="E10" s="840"/>
      <c r="F10" s="842"/>
    </row>
    <row r="11" spans="1:7" s="727" customFormat="1" ht="15.6" x14ac:dyDescent="0.3">
      <c r="A11" s="843">
        <v>1</v>
      </c>
      <c r="B11" s="821" t="s">
        <v>738</v>
      </c>
      <c r="C11" s="822"/>
      <c r="D11" s="823"/>
      <c r="E11" s="822"/>
      <c r="F11" s="844"/>
    </row>
    <row r="12" spans="1:7" s="727" customFormat="1" ht="15.6" x14ac:dyDescent="0.3">
      <c r="A12" s="845">
        <f>A11+0.01</f>
        <v>1.01</v>
      </c>
      <c r="B12" s="797" t="s">
        <v>836</v>
      </c>
      <c r="C12" s="798">
        <v>1</v>
      </c>
      <c r="D12" s="799" t="s">
        <v>635</v>
      </c>
      <c r="E12" s="798"/>
      <c r="F12" s="846">
        <f>E12*C12</f>
        <v>0</v>
      </c>
    </row>
    <row r="13" spans="1:7" s="727" customFormat="1" ht="15.6" x14ac:dyDescent="0.3">
      <c r="A13" s="845">
        <f>A12+0.01</f>
        <v>1.02</v>
      </c>
      <c r="B13" s="797" t="s">
        <v>837</v>
      </c>
      <c r="C13" s="800">
        <v>1</v>
      </c>
      <c r="D13" s="799" t="s">
        <v>130</v>
      </c>
      <c r="E13" s="800"/>
      <c r="F13" s="846">
        <f t="shared" ref="F13" si="0">E13*C13</f>
        <v>0</v>
      </c>
    </row>
    <row r="14" spans="1:7" s="727" customFormat="1" ht="15.6" x14ac:dyDescent="0.3">
      <c r="A14" s="847"/>
      <c r="B14" s="797"/>
      <c r="C14" s="800"/>
      <c r="D14" s="799"/>
      <c r="E14" s="800"/>
      <c r="F14" s="848">
        <f>SUM(F12:F13)</f>
        <v>0</v>
      </c>
    </row>
    <row r="15" spans="1:7" s="727" customFormat="1" ht="15.6" x14ac:dyDescent="0.3">
      <c r="A15" s="843">
        <v>2</v>
      </c>
      <c r="B15" s="824" t="s">
        <v>838</v>
      </c>
      <c r="C15" s="825"/>
      <c r="D15" s="826"/>
      <c r="E15" s="825"/>
      <c r="F15" s="848"/>
    </row>
    <row r="16" spans="1:7" s="727" customFormat="1" ht="28.8" customHeight="1" x14ac:dyDescent="0.3">
      <c r="A16" s="849">
        <f>A15+0.01</f>
        <v>2.0099999999999998</v>
      </c>
      <c r="B16" s="803" t="s">
        <v>852</v>
      </c>
      <c r="C16" s="801">
        <v>100</v>
      </c>
      <c r="D16" s="802" t="s">
        <v>26</v>
      </c>
      <c r="E16" s="801"/>
      <c r="F16" s="850">
        <f>E16*C16</f>
        <v>0</v>
      </c>
    </row>
    <row r="17" spans="1:7" s="727" customFormat="1" ht="15.6" x14ac:dyDescent="0.3">
      <c r="A17" s="847"/>
      <c r="B17" s="797"/>
      <c r="C17" s="800"/>
      <c r="D17" s="799"/>
      <c r="E17" s="800"/>
      <c r="F17" s="848">
        <f>SUM(F16:F16)</f>
        <v>0</v>
      </c>
    </row>
    <row r="18" spans="1:7" s="727" customFormat="1" ht="15.6" x14ac:dyDescent="0.3">
      <c r="A18" s="847"/>
      <c r="B18" s="797"/>
      <c r="C18" s="800"/>
      <c r="D18" s="799"/>
      <c r="E18" s="800"/>
      <c r="F18" s="846"/>
    </row>
    <row r="19" spans="1:7" s="727" customFormat="1" ht="15.6" x14ac:dyDescent="0.3">
      <c r="A19" s="843">
        <v>3</v>
      </c>
      <c r="B19" s="824" t="s">
        <v>839</v>
      </c>
      <c r="C19" s="825"/>
      <c r="D19" s="826"/>
      <c r="E19" s="825"/>
      <c r="F19" s="848"/>
    </row>
    <row r="20" spans="1:7" s="727" customFormat="1" ht="28.8" x14ac:dyDescent="0.3">
      <c r="A20" s="849">
        <f>A19+0.01</f>
        <v>3.01</v>
      </c>
      <c r="B20" s="803" t="s">
        <v>840</v>
      </c>
      <c r="C20" s="801">
        <v>1.63</v>
      </c>
      <c r="D20" s="802" t="s">
        <v>841</v>
      </c>
      <c r="E20" s="801"/>
      <c r="F20" s="850">
        <f>E20*C20</f>
        <v>0</v>
      </c>
    </row>
    <row r="21" spans="1:7" s="727" customFormat="1" ht="19.2" customHeight="1" x14ac:dyDescent="0.3">
      <c r="A21" s="849">
        <f>A20+0.01</f>
        <v>3.0199999999999996</v>
      </c>
      <c r="B21" s="803" t="s">
        <v>842</v>
      </c>
      <c r="C21" s="801">
        <v>1</v>
      </c>
      <c r="D21" s="802" t="s">
        <v>707</v>
      </c>
      <c r="E21" s="801"/>
      <c r="F21" s="850">
        <f>E21*C21</f>
        <v>0</v>
      </c>
    </row>
    <row r="22" spans="1:7" s="727" customFormat="1" ht="15.6" customHeight="1" x14ac:dyDescent="0.3">
      <c r="A22" s="851"/>
      <c r="B22" s="803"/>
      <c r="C22" s="801"/>
      <c r="D22" s="802"/>
      <c r="E22" s="801"/>
      <c r="F22" s="852">
        <f>SUM(F20:F21)</f>
        <v>0</v>
      </c>
    </row>
    <row r="23" spans="1:7" s="727" customFormat="1" ht="15.6" x14ac:dyDescent="0.3">
      <c r="A23" s="853">
        <v>4</v>
      </c>
      <c r="B23" s="827" t="s">
        <v>843</v>
      </c>
      <c r="C23" s="828"/>
      <c r="D23" s="829"/>
      <c r="E23" s="828"/>
      <c r="F23" s="852"/>
    </row>
    <row r="24" spans="1:7" s="727" customFormat="1" ht="15.6" x14ac:dyDescent="0.3">
      <c r="A24" s="849">
        <f>A23+0.01</f>
        <v>4.01</v>
      </c>
      <c r="B24" s="803" t="s">
        <v>844</v>
      </c>
      <c r="C24" s="801">
        <v>10</v>
      </c>
      <c r="D24" s="802" t="s">
        <v>168</v>
      </c>
      <c r="E24" s="801"/>
      <c r="F24" s="850">
        <f t="shared" ref="F24:F25" si="1">E24*C24</f>
        <v>0</v>
      </c>
    </row>
    <row r="25" spans="1:7" s="727" customFormat="1" ht="27.6" x14ac:dyDescent="0.3">
      <c r="A25" s="849">
        <f>A24+0.01</f>
        <v>4.0199999999999996</v>
      </c>
      <c r="B25" s="797" t="s">
        <v>845</v>
      </c>
      <c r="C25" s="801">
        <v>0.43252069999999998</v>
      </c>
      <c r="D25" s="802" t="s">
        <v>173</v>
      </c>
      <c r="E25" s="801"/>
      <c r="F25" s="850">
        <f t="shared" si="1"/>
        <v>0</v>
      </c>
    </row>
    <row r="26" spans="1:7" s="727" customFormat="1" ht="14.4" customHeight="1" x14ac:dyDescent="0.3">
      <c r="A26" s="851"/>
      <c r="B26" s="797"/>
      <c r="C26" s="801"/>
      <c r="D26" s="802"/>
      <c r="E26" s="801"/>
      <c r="F26" s="852">
        <f>SUM(F24:F25)</f>
        <v>0</v>
      </c>
    </row>
    <row r="27" spans="1:7" s="727" customFormat="1" ht="15.6" x14ac:dyDescent="0.3">
      <c r="A27" s="853">
        <v>5</v>
      </c>
      <c r="B27" s="827" t="s">
        <v>846</v>
      </c>
      <c r="C27" s="828"/>
      <c r="D27" s="829"/>
      <c r="E27" s="828"/>
      <c r="F27" s="852"/>
      <c r="G27" s="832"/>
    </row>
    <row r="28" spans="1:7" s="727" customFormat="1" ht="28.2" x14ac:dyDescent="0.3">
      <c r="A28" s="849">
        <f>A27+0.01</f>
        <v>5.01</v>
      </c>
      <c r="B28" s="803" t="s">
        <v>847</v>
      </c>
      <c r="C28" s="801">
        <v>480</v>
      </c>
      <c r="D28" s="802" t="s">
        <v>27</v>
      </c>
      <c r="E28" s="801"/>
      <c r="F28" s="854">
        <f>E28*C28</f>
        <v>0</v>
      </c>
    </row>
    <row r="29" spans="1:7" s="727" customFormat="1" ht="15.6" x14ac:dyDescent="0.3">
      <c r="A29" s="851"/>
      <c r="B29" s="803"/>
      <c r="C29" s="801"/>
      <c r="D29" s="802"/>
      <c r="E29" s="801"/>
      <c r="F29" s="852">
        <f>SUM(F28:F28)</f>
        <v>0</v>
      </c>
    </row>
    <row r="30" spans="1:7" s="727" customFormat="1" ht="15.6" x14ac:dyDescent="0.3">
      <c r="A30" s="851"/>
      <c r="B30" s="803"/>
      <c r="C30" s="801"/>
      <c r="D30" s="802"/>
      <c r="E30" s="801"/>
      <c r="F30" s="850"/>
    </row>
    <row r="31" spans="1:7" s="727" customFormat="1" ht="15.6" x14ac:dyDescent="0.3">
      <c r="A31" s="853">
        <v>6</v>
      </c>
      <c r="B31" s="827" t="s">
        <v>848</v>
      </c>
      <c r="C31" s="828">
        <v>1</v>
      </c>
      <c r="D31" s="829" t="s">
        <v>107</v>
      </c>
      <c r="E31" s="828"/>
      <c r="F31" s="852">
        <f>E31*C31</f>
        <v>0</v>
      </c>
    </row>
    <row r="32" spans="1:7" ht="15.6" x14ac:dyDescent="0.3">
      <c r="A32" s="849"/>
      <c r="B32" s="803"/>
      <c r="C32" s="801"/>
      <c r="D32" s="802"/>
      <c r="E32" s="801"/>
      <c r="F32" s="852">
        <f>SUM(F31)</f>
        <v>0</v>
      </c>
    </row>
    <row r="33" spans="1:6" x14ac:dyDescent="0.3">
      <c r="A33" s="855"/>
      <c r="B33" s="803"/>
      <c r="C33" s="801"/>
      <c r="D33" s="802"/>
      <c r="E33" s="801"/>
      <c r="F33" s="856"/>
    </row>
    <row r="34" spans="1:6" ht="15.6" x14ac:dyDescent="0.3">
      <c r="A34" s="886" t="s">
        <v>22</v>
      </c>
      <c r="B34" s="887"/>
      <c r="C34" s="887"/>
      <c r="D34" s="887"/>
      <c r="E34" s="887"/>
      <c r="F34" s="857">
        <f>F32+F29+F26+F22+F17+F14</f>
        <v>0</v>
      </c>
    </row>
    <row r="35" spans="1:6" ht="15.6" x14ac:dyDescent="0.3">
      <c r="A35" s="858"/>
      <c r="B35" s="794"/>
      <c r="C35" s="795"/>
      <c r="D35" s="796"/>
      <c r="E35" s="795"/>
      <c r="F35" s="859"/>
    </row>
    <row r="36" spans="1:6" ht="15.6" x14ac:dyDescent="0.3">
      <c r="A36" s="870" t="s">
        <v>22</v>
      </c>
      <c r="B36" s="871"/>
      <c r="C36" s="871"/>
      <c r="D36" s="871"/>
      <c r="E36" s="871"/>
      <c r="F36" s="857">
        <f>F34</f>
        <v>0</v>
      </c>
    </row>
    <row r="37" spans="1:6" ht="15.6" x14ac:dyDescent="0.3">
      <c r="A37" s="860"/>
      <c r="B37" s="831"/>
      <c r="C37" s="831"/>
      <c r="D37" s="831"/>
      <c r="E37" s="831"/>
      <c r="F37" s="861"/>
    </row>
    <row r="38" spans="1:6" ht="15.6" x14ac:dyDescent="0.3">
      <c r="A38" s="862"/>
      <c r="B38" s="811" t="s">
        <v>127</v>
      </c>
      <c r="C38" s="810">
        <v>0.05</v>
      </c>
      <c r="D38" s="809"/>
      <c r="E38" s="804"/>
      <c r="F38" s="863">
        <f>C38*F36</f>
        <v>0</v>
      </c>
    </row>
    <row r="39" spans="1:6" ht="15.6" x14ac:dyDescent="0.3">
      <c r="A39" s="860"/>
      <c r="B39" s="831"/>
      <c r="C39" s="831"/>
      <c r="D39" s="831"/>
      <c r="E39" s="831"/>
      <c r="F39" s="861"/>
    </row>
    <row r="40" spans="1:6" ht="15.6" x14ac:dyDescent="0.3">
      <c r="A40" s="864"/>
      <c r="B40" s="768" t="s">
        <v>11</v>
      </c>
      <c r="C40" s="769"/>
      <c r="D40" s="770"/>
      <c r="E40" s="769"/>
      <c r="F40" s="865"/>
    </row>
    <row r="41" spans="1:6" ht="15.6" x14ac:dyDescent="0.3">
      <c r="A41" s="864"/>
      <c r="B41" s="771" t="s">
        <v>12</v>
      </c>
      <c r="C41" s="772">
        <v>0.1</v>
      </c>
      <c r="D41" s="773"/>
      <c r="E41" s="774"/>
      <c r="F41" s="863">
        <f>C41*F36</f>
        <v>0</v>
      </c>
    </row>
    <row r="42" spans="1:6" ht="15.6" x14ac:dyDescent="0.3">
      <c r="A42" s="864"/>
      <c r="B42" s="771" t="s">
        <v>13</v>
      </c>
      <c r="C42" s="775">
        <v>0.03</v>
      </c>
      <c r="D42" s="773"/>
      <c r="E42" s="774"/>
      <c r="F42" s="863">
        <f>F36*C42</f>
        <v>0</v>
      </c>
    </row>
    <row r="43" spans="1:6" ht="15.6" x14ac:dyDescent="0.3">
      <c r="A43" s="866"/>
      <c r="B43" s="771" t="s">
        <v>814</v>
      </c>
      <c r="C43" s="775">
        <v>0.04</v>
      </c>
      <c r="D43" s="773"/>
      <c r="E43" s="774"/>
      <c r="F43" s="863">
        <f>F36*C43</f>
        <v>0</v>
      </c>
    </row>
    <row r="44" spans="1:6" ht="15.6" x14ac:dyDescent="0.3">
      <c r="A44" s="864"/>
      <c r="B44" s="771" t="s">
        <v>125</v>
      </c>
      <c r="C44" s="775">
        <v>0.01</v>
      </c>
      <c r="D44" s="773"/>
      <c r="E44" s="774"/>
      <c r="F44" s="863">
        <f>F36*C44</f>
        <v>0</v>
      </c>
    </row>
    <row r="45" spans="1:6" ht="15.6" x14ac:dyDescent="0.3">
      <c r="A45" s="864"/>
      <c r="B45" s="771" t="s">
        <v>14</v>
      </c>
      <c r="C45" s="775">
        <v>0.01</v>
      </c>
      <c r="D45" s="773"/>
      <c r="E45" s="774"/>
      <c r="F45" s="863">
        <f>F36*C45</f>
        <v>0</v>
      </c>
    </row>
    <row r="46" spans="1:6" ht="15.6" x14ac:dyDescent="0.3">
      <c r="A46" s="864"/>
      <c r="B46" s="771" t="s">
        <v>815</v>
      </c>
      <c r="C46" s="775">
        <v>0.05</v>
      </c>
      <c r="D46" s="773"/>
      <c r="E46" s="774"/>
      <c r="F46" s="863">
        <f>F36*C46</f>
        <v>0</v>
      </c>
    </row>
    <row r="47" spans="1:6" ht="15.6" x14ac:dyDescent="0.3">
      <c r="A47" s="864"/>
      <c r="B47" s="771" t="s">
        <v>444</v>
      </c>
      <c r="C47" s="775">
        <v>0.18</v>
      </c>
      <c r="D47" s="773"/>
      <c r="E47" s="774"/>
      <c r="F47" s="863">
        <f>F41*C47</f>
        <v>0</v>
      </c>
    </row>
    <row r="48" spans="1:6" ht="15.6" x14ac:dyDescent="0.3">
      <c r="A48" s="864"/>
      <c r="B48" s="771" t="s">
        <v>816</v>
      </c>
      <c r="C48" s="776">
        <v>1E-3</v>
      </c>
      <c r="D48" s="773"/>
      <c r="E48" s="774"/>
      <c r="F48" s="863">
        <f>F36*C48</f>
        <v>0</v>
      </c>
    </row>
    <row r="49" spans="1:6" ht="15.6" x14ac:dyDescent="0.3">
      <c r="A49" s="867"/>
      <c r="B49" s="805" t="s">
        <v>24</v>
      </c>
      <c r="C49" s="806"/>
      <c r="D49" s="807"/>
      <c r="E49" s="808"/>
      <c r="F49" s="868">
        <f>SUM(F41:F48)</f>
        <v>0</v>
      </c>
    </row>
    <row r="50" spans="1:6" ht="15.6" x14ac:dyDescent="0.3">
      <c r="A50" s="862"/>
      <c r="B50" s="809"/>
      <c r="C50" s="810"/>
      <c r="D50" s="809"/>
      <c r="E50" s="804"/>
      <c r="F50" s="863"/>
    </row>
    <row r="51" spans="1:6" ht="15.6" x14ac:dyDescent="0.3">
      <c r="A51" s="867"/>
      <c r="B51" s="805" t="s">
        <v>15</v>
      </c>
      <c r="C51" s="806"/>
      <c r="D51" s="807"/>
      <c r="E51" s="808"/>
      <c r="F51" s="868">
        <f>F49+F38+F36</f>
        <v>0</v>
      </c>
    </row>
    <row r="52" spans="1:6" ht="15.6" x14ac:dyDescent="0.3">
      <c r="A52" s="862"/>
      <c r="B52" s="811"/>
      <c r="C52" s="810"/>
      <c r="D52" s="809"/>
      <c r="E52" s="804"/>
      <c r="F52" s="863"/>
    </row>
    <row r="53" spans="1:6" ht="15.6" x14ac:dyDescent="0.3">
      <c r="A53" s="875" t="s">
        <v>25</v>
      </c>
      <c r="B53" s="876"/>
      <c r="C53" s="876"/>
      <c r="D53" s="876"/>
      <c r="E53" s="876"/>
      <c r="F53" s="869">
        <f>F51</f>
        <v>0</v>
      </c>
    </row>
    <row r="54" spans="1:6" x14ac:dyDescent="0.3">
      <c r="A54" s="783" t="s">
        <v>827</v>
      </c>
      <c r="B54" s="785" t="s">
        <v>828</v>
      </c>
      <c r="C54" s="786"/>
      <c r="D54" s="785"/>
      <c r="E54" s="783"/>
      <c r="F54" s="784"/>
    </row>
    <row r="55" spans="1:6" x14ac:dyDescent="0.3">
      <c r="A55" s="783" t="s">
        <v>802</v>
      </c>
      <c r="B55" s="877" t="s">
        <v>829</v>
      </c>
      <c r="C55" s="877"/>
      <c r="D55" s="877"/>
      <c r="E55" s="877"/>
      <c r="F55" s="877"/>
    </row>
    <row r="56" spans="1:6" x14ac:dyDescent="0.3">
      <c r="A56" s="783"/>
      <c r="B56" s="785"/>
      <c r="C56" s="786"/>
      <c r="D56" s="785"/>
      <c r="E56" s="787"/>
      <c r="F56" s="787"/>
    </row>
    <row r="57" spans="1:6" x14ac:dyDescent="0.3">
      <c r="A57" s="878" t="s">
        <v>830</v>
      </c>
      <c r="B57" s="878"/>
      <c r="C57" s="788" t="s">
        <v>831</v>
      </c>
      <c r="D57" s="788"/>
      <c r="E57" s="788"/>
      <c r="F57" s="788"/>
    </row>
    <row r="58" spans="1:6" x14ac:dyDescent="0.3">
      <c r="A58" s="789"/>
      <c r="B58" s="790"/>
      <c r="C58" s="787"/>
      <c r="D58" s="787"/>
      <c r="E58" s="787"/>
      <c r="F58" s="787"/>
    </row>
    <row r="59" spans="1:6" x14ac:dyDescent="0.3">
      <c r="A59" s="791" t="s">
        <v>832</v>
      </c>
      <c r="B59" s="792"/>
      <c r="C59" s="787"/>
      <c r="D59" s="793"/>
      <c r="E59" s="793"/>
      <c r="F59" s="793"/>
    </row>
    <row r="60" spans="1:6" x14ac:dyDescent="0.3">
      <c r="A60" s="879"/>
      <c r="B60" s="879"/>
      <c r="C60" s="879"/>
      <c r="D60" s="880"/>
      <c r="E60" s="880"/>
      <c r="F60" s="880"/>
    </row>
    <row r="61" spans="1:6" x14ac:dyDescent="0.3">
      <c r="A61" s="881"/>
      <c r="B61" s="881"/>
      <c r="C61" s="881"/>
      <c r="D61" s="882"/>
      <c r="E61" s="882"/>
      <c r="F61" s="882"/>
    </row>
    <row r="62" spans="1:6" x14ac:dyDescent="0.3">
      <c r="A62" s="873"/>
      <c r="B62" s="873"/>
      <c r="C62" s="873"/>
      <c r="D62" s="873"/>
      <c r="E62" s="873"/>
      <c r="F62" s="873"/>
    </row>
    <row r="63" spans="1:6" x14ac:dyDescent="0.3">
      <c r="A63" s="874"/>
      <c r="B63" s="874"/>
      <c r="C63" s="874"/>
      <c r="D63" s="874"/>
      <c r="E63" s="874"/>
      <c r="F63" s="874"/>
    </row>
  </sheetData>
  <mergeCells count="16">
    <mergeCell ref="A2:F2"/>
    <mergeCell ref="A3:F3"/>
    <mergeCell ref="A4:F4"/>
    <mergeCell ref="A34:E34"/>
    <mergeCell ref="B6:E6"/>
    <mergeCell ref="A36:E36"/>
    <mergeCell ref="E8:F8"/>
    <mergeCell ref="A62:F62"/>
    <mergeCell ref="A63:F63"/>
    <mergeCell ref="A53:E53"/>
    <mergeCell ref="B55:F55"/>
    <mergeCell ref="A57:B57"/>
    <mergeCell ref="A60:C60"/>
    <mergeCell ref="D60:F60"/>
    <mergeCell ref="A61:C61"/>
    <mergeCell ref="D61:F61"/>
  </mergeCells>
  <printOptions horizontalCentered="1"/>
  <pageMargins left="0.23622047244094491" right="0.23622047244094491" top="0.74803149606299213" bottom="0.74803149606299213" header="0.31496062992125984" footer="0.31496062992125984"/>
  <pageSetup scale="80" orientation="portrait" r:id="rId1"/>
  <headerFooter>
    <oddFooter>Página &amp;P</oddFooter>
  </headerFooter>
  <rowBreaks count="1" manualBreakCount="1">
    <brk id="34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2"/>
  <sheetViews>
    <sheetView topLeftCell="A4" workbookViewId="0">
      <selection activeCell="F11" sqref="F11"/>
    </sheetView>
  </sheetViews>
  <sheetFormatPr baseColWidth="10" defaultRowHeight="14.4" x14ac:dyDescent="0.3"/>
  <cols>
    <col min="1" max="1" width="5" customWidth="1"/>
    <col min="2" max="2" width="28.6640625" customWidth="1"/>
    <col min="5" max="5" width="12.5546875" bestFit="1" customWidth="1"/>
    <col min="6" max="6" width="13.5546875" bestFit="1" customWidth="1"/>
  </cols>
  <sheetData>
    <row r="3" spans="1:7" x14ac:dyDescent="0.3">
      <c r="A3" s="777" t="s">
        <v>818</v>
      </c>
      <c r="B3" s="777" t="s">
        <v>819</v>
      </c>
      <c r="C3" s="777"/>
      <c r="D3" s="777"/>
      <c r="E3" s="777"/>
      <c r="F3" s="777"/>
    </row>
    <row r="4" spans="1:7" x14ac:dyDescent="0.3">
      <c r="B4" t="s">
        <v>820</v>
      </c>
      <c r="C4" s="780">
        <v>1</v>
      </c>
      <c r="D4" s="781" t="s">
        <v>286</v>
      </c>
      <c r="E4" s="782">
        <v>150</v>
      </c>
      <c r="F4" s="782">
        <f>E4*C4</f>
        <v>150</v>
      </c>
    </row>
    <row r="5" spans="1:7" ht="28.8" x14ac:dyDescent="0.3">
      <c r="B5" s="779" t="s">
        <v>825</v>
      </c>
      <c r="C5" s="780">
        <v>0.12</v>
      </c>
      <c r="D5" s="781" t="s">
        <v>173</v>
      </c>
      <c r="E5" s="782">
        <v>6040.8592857142858</v>
      </c>
      <c r="F5" s="782">
        <f t="shared" ref="F5:F10" si="0">E5*C5</f>
        <v>724.90311428571431</v>
      </c>
    </row>
    <row r="6" spans="1:7" x14ac:dyDescent="0.3">
      <c r="B6" t="s">
        <v>821</v>
      </c>
      <c r="C6" s="780">
        <v>1</v>
      </c>
      <c r="D6" s="781" t="s">
        <v>168</v>
      </c>
      <c r="E6" s="782">
        <v>145.08333333333334</v>
      </c>
      <c r="F6" s="782">
        <f t="shared" si="0"/>
        <v>145.08333333333334</v>
      </c>
    </row>
    <row r="7" spans="1:7" x14ac:dyDescent="0.3">
      <c r="B7" t="s">
        <v>826</v>
      </c>
      <c r="C7" s="780">
        <v>1</v>
      </c>
      <c r="D7" s="781" t="s">
        <v>168</v>
      </c>
      <c r="E7" s="782">
        <v>102</v>
      </c>
      <c r="F7" s="782">
        <f t="shared" si="0"/>
        <v>102</v>
      </c>
    </row>
    <row r="8" spans="1:7" x14ac:dyDescent="0.3">
      <c r="B8" t="s">
        <v>822</v>
      </c>
      <c r="C8" s="780">
        <v>1</v>
      </c>
      <c r="D8" s="781" t="s">
        <v>168</v>
      </c>
      <c r="E8" s="782">
        <v>30</v>
      </c>
      <c r="F8" s="782">
        <f t="shared" si="0"/>
        <v>30</v>
      </c>
    </row>
    <row r="9" spans="1:7" x14ac:dyDescent="0.3">
      <c r="B9" t="s">
        <v>823</v>
      </c>
      <c r="C9" s="780">
        <v>1</v>
      </c>
      <c r="D9" s="781" t="s">
        <v>168</v>
      </c>
      <c r="E9" s="782">
        <v>120</v>
      </c>
      <c r="F9" s="782">
        <f t="shared" si="0"/>
        <v>120</v>
      </c>
    </row>
    <row r="10" spans="1:7" x14ac:dyDescent="0.3">
      <c r="B10" t="s">
        <v>824</v>
      </c>
      <c r="C10" s="780">
        <v>1</v>
      </c>
      <c r="D10" s="781" t="s">
        <v>740</v>
      </c>
      <c r="E10" s="782">
        <v>21.854583333333334</v>
      </c>
      <c r="F10" s="782">
        <f t="shared" si="0"/>
        <v>21.854583333333334</v>
      </c>
    </row>
    <row r="11" spans="1:7" x14ac:dyDescent="0.3">
      <c r="E11" s="778" t="s">
        <v>146</v>
      </c>
      <c r="F11" s="778">
        <f>SUM(F4:F10)</f>
        <v>1293.8410309523811</v>
      </c>
    </row>
    <row r="12" spans="1:7" x14ac:dyDescent="0.3">
      <c r="E12" s="778" t="s">
        <v>174</v>
      </c>
      <c r="F12" s="778">
        <v>11145.8375</v>
      </c>
      <c r="G12" s="717">
        <f>F11/0.12</f>
        <v>10782.008591269843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472"/>
  <sheetViews>
    <sheetView view="pageBreakPreview" topLeftCell="A188" zoomScaleNormal="85" zoomScaleSheetLayoutView="100" workbookViewId="0">
      <selection activeCell="I195" sqref="I195"/>
    </sheetView>
  </sheetViews>
  <sheetFormatPr baseColWidth="10" defaultRowHeight="13.2" x14ac:dyDescent="0.25"/>
  <cols>
    <col min="1" max="1" width="5.44140625" style="7" bestFit="1" customWidth="1"/>
    <col min="2" max="2" width="45" style="7" customWidth="1"/>
    <col min="3" max="3" width="11.5546875" style="7" bestFit="1" customWidth="1"/>
    <col min="4" max="4" width="11.44140625" style="7"/>
    <col min="5" max="5" width="13.44140625" style="7" bestFit="1" customWidth="1"/>
    <col min="6" max="6" width="13.88671875" style="7" bestFit="1" customWidth="1"/>
    <col min="7" max="256" width="11.44140625" style="7"/>
    <col min="257" max="257" width="5.44140625" style="7" bestFit="1" customWidth="1"/>
    <col min="258" max="258" width="49" style="7" bestFit="1" customWidth="1"/>
    <col min="259" max="259" width="11.5546875" style="7" bestFit="1" customWidth="1"/>
    <col min="260" max="260" width="11.44140625" style="7"/>
    <col min="261" max="261" width="12.44140625" style="7" bestFit="1" customWidth="1"/>
    <col min="262" max="262" width="12.88671875" style="7" bestFit="1" customWidth="1"/>
    <col min="263" max="512" width="11.44140625" style="7"/>
    <col min="513" max="513" width="5.44140625" style="7" bestFit="1" customWidth="1"/>
    <col min="514" max="514" width="49" style="7" bestFit="1" customWidth="1"/>
    <col min="515" max="515" width="11.5546875" style="7" bestFit="1" customWidth="1"/>
    <col min="516" max="516" width="11.44140625" style="7"/>
    <col min="517" max="517" width="12.44140625" style="7" bestFit="1" customWidth="1"/>
    <col min="518" max="518" width="12.88671875" style="7" bestFit="1" customWidth="1"/>
    <col min="519" max="768" width="11.44140625" style="7"/>
    <col min="769" max="769" width="5.44140625" style="7" bestFit="1" customWidth="1"/>
    <col min="770" max="770" width="49" style="7" bestFit="1" customWidth="1"/>
    <col min="771" max="771" width="11.5546875" style="7" bestFit="1" customWidth="1"/>
    <col min="772" max="772" width="11.44140625" style="7"/>
    <col min="773" max="773" width="12.44140625" style="7" bestFit="1" customWidth="1"/>
    <col min="774" max="774" width="12.88671875" style="7" bestFit="1" customWidth="1"/>
    <col min="775" max="1024" width="11.44140625" style="7"/>
    <col min="1025" max="1025" width="5.44140625" style="7" bestFit="1" customWidth="1"/>
    <col min="1026" max="1026" width="49" style="7" bestFit="1" customWidth="1"/>
    <col min="1027" max="1027" width="11.5546875" style="7" bestFit="1" customWidth="1"/>
    <col min="1028" max="1028" width="11.44140625" style="7"/>
    <col min="1029" max="1029" width="12.44140625" style="7" bestFit="1" customWidth="1"/>
    <col min="1030" max="1030" width="12.88671875" style="7" bestFit="1" customWidth="1"/>
    <col min="1031" max="1280" width="11.44140625" style="7"/>
    <col min="1281" max="1281" width="5.44140625" style="7" bestFit="1" customWidth="1"/>
    <col min="1282" max="1282" width="49" style="7" bestFit="1" customWidth="1"/>
    <col min="1283" max="1283" width="11.5546875" style="7" bestFit="1" customWidth="1"/>
    <col min="1284" max="1284" width="11.44140625" style="7"/>
    <col min="1285" max="1285" width="12.44140625" style="7" bestFit="1" customWidth="1"/>
    <col min="1286" max="1286" width="12.88671875" style="7" bestFit="1" customWidth="1"/>
    <col min="1287" max="1536" width="11.44140625" style="7"/>
    <col min="1537" max="1537" width="5.44140625" style="7" bestFit="1" customWidth="1"/>
    <col min="1538" max="1538" width="49" style="7" bestFit="1" customWidth="1"/>
    <col min="1539" max="1539" width="11.5546875" style="7" bestFit="1" customWidth="1"/>
    <col min="1540" max="1540" width="11.44140625" style="7"/>
    <col min="1541" max="1541" width="12.44140625" style="7" bestFit="1" customWidth="1"/>
    <col min="1542" max="1542" width="12.88671875" style="7" bestFit="1" customWidth="1"/>
    <col min="1543" max="1792" width="11.44140625" style="7"/>
    <col min="1793" max="1793" width="5.44140625" style="7" bestFit="1" customWidth="1"/>
    <col min="1794" max="1794" width="49" style="7" bestFit="1" customWidth="1"/>
    <col min="1795" max="1795" width="11.5546875" style="7" bestFit="1" customWidth="1"/>
    <col min="1796" max="1796" width="11.44140625" style="7"/>
    <col min="1797" max="1797" width="12.44140625" style="7" bestFit="1" customWidth="1"/>
    <col min="1798" max="1798" width="12.88671875" style="7" bestFit="1" customWidth="1"/>
    <col min="1799" max="2048" width="11.44140625" style="7"/>
    <col min="2049" max="2049" width="5.44140625" style="7" bestFit="1" customWidth="1"/>
    <col min="2050" max="2050" width="49" style="7" bestFit="1" customWidth="1"/>
    <col min="2051" max="2051" width="11.5546875" style="7" bestFit="1" customWidth="1"/>
    <col min="2052" max="2052" width="11.44140625" style="7"/>
    <col min="2053" max="2053" width="12.44140625" style="7" bestFit="1" customWidth="1"/>
    <col min="2054" max="2054" width="12.88671875" style="7" bestFit="1" customWidth="1"/>
    <col min="2055" max="2304" width="11.44140625" style="7"/>
    <col min="2305" max="2305" width="5.44140625" style="7" bestFit="1" customWidth="1"/>
    <col min="2306" max="2306" width="49" style="7" bestFit="1" customWidth="1"/>
    <col min="2307" max="2307" width="11.5546875" style="7" bestFit="1" customWidth="1"/>
    <col min="2308" max="2308" width="11.44140625" style="7"/>
    <col min="2309" max="2309" width="12.44140625" style="7" bestFit="1" customWidth="1"/>
    <col min="2310" max="2310" width="12.88671875" style="7" bestFit="1" customWidth="1"/>
    <col min="2311" max="2560" width="11.44140625" style="7"/>
    <col min="2561" max="2561" width="5.44140625" style="7" bestFit="1" customWidth="1"/>
    <col min="2562" max="2562" width="49" style="7" bestFit="1" customWidth="1"/>
    <col min="2563" max="2563" width="11.5546875" style="7" bestFit="1" customWidth="1"/>
    <col min="2564" max="2564" width="11.44140625" style="7"/>
    <col min="2565" max="2565" width="12.44140625" style="7" bestFit="1" customWidth="1"/>
    <col min="2566" max="2566" width="12.88671875" style="7" bestFit="1" customWidth="1"/>
    <col min="2567" max="2816" width="11.44140625" style="7"/>
    <col min="2817" max="2817" width="5.44140625" style="7" bestFit="1" customWidth="1"/>
    <col min="2818" max="2818" width="49" style="7" bestFit="1" customWidth="1"/>
    <col min="2819" max="2819" width="11.5546875" style="7" bestFit="1" customWidth="1"/>
    <col min="2820" max="2820" width="11.44140625" style="7"/>
    <col min="2821" max="2821" width="12.44140625" style="7" bestFit="1" customWidth="1"/>
    <col min="2822" max="2822" width="12.88671875" style="7" bestFit="1" customWidth="1"/>
    <col min="2823" max="3072" width="11.44140625" style="7"/>
    <col min="3073" max="3073" width="5.44140625" style="7" bestFit="1" customWidth="1"/>
    <col min="3074" max="3074" width="49" style="7" bestFit="1" customWidth="1"/>
    <col min="3075" max="3075" width="11.5546875" style="7" bestFit="1" customWidth="1"/>
    <col min="3076" max="3076" width="11.44140625" style="7"/>
    <col min="3077" max="3077" width="12.44140625" style="7" bestFit="1" customWidth="1"/>
    <col min="3078" max="3078" width="12.88671875" style="7" bestFit="1" customWidth="1"/>
    <col min="3079" max="3328" width="11.44140625" style="7"/>
    <col min="3329" max="3329" width="5.44140625" style="7" bestFit="1" customWidth="1"/>
    <col min="3330" max="3330" width="49" style="7" bestFit="1" customWidth="1"/>
    <col min="3331" max="3331" width="11.5546875" style="7" bestFit="1" customWidth="1"/>
    <col min="3332" max="3332" width="11.44140625" style="7"/>
    <col min="3333" max="3333" width="12.44140625" style="7" bestFit="1" customWidth="1"/>
    <col min="3334" max="3334" width="12.88671875" style="7" bestFit="1" customWidth="1"/>
    <col min="3335" max="3584" width="11.44140625" style="7"/>
    <col min="3585" max="3585" width="5.44140625" style="7" bestFit="1" customWidth="1"/>
    <col min="3586" max="3586" width="49" style="7" bestFit="1" customWidth="1"/>
    <col min="3587" max="3587" width="11.5546875" style="7" bestFit="1" customWidth="1"/>
    <col min="3588" max="3588" width="11.44140625" style="7"/>
    <col min="3589" max="3589" width="12.44140625" style="7" bestFit="1" customWidth="1"/>
    <col min="3590" max="3590" width="12.88671875" style="7" bestFit="1" customWidth="1"/>
    <col min="3591" max="3840" width="11.44140625" style="7"/>
    <col min="3841" max="3841" width="5.44140625" style="7" bestFit="1" customWidth="1"/>
    <col min="3842" max="3842" width="49" style="7" bestFit="1" customWidth="1"/>
    <col min="3843" max="3843" width="11.5546875" style="7" bestFit="1" customWidth="1"/>
    <col min="3844" max="3844" width="11.44140625" style="7"/>
    <col min="3845" max="3845" width="12.44140625" style="7" bestFit="1" customWidth="1"/>
    <col min="3846" max="3846" width="12.88671875" style="7" bestFit="1" customWidth="1"/>
    <col min="3847" max="4096" width="11.44140625" style="7"/>
    <col min="4097" max="4097" width="5.44140625" style="7" bestFit="1" customWidth="1"/>
    <col min="4098" max="4098" width="49" style="7" bestFit="1" customWidth="1"/>
    <col min="4099" max="4099" width="11.5546875" style="7" bestFit="1" customWidth="1"/>
    <col min="4100" max="4100" width="11.44140625" style="7"/>
    <col min="4101" max="4101" width="12.44140625" style="7" bestFit="1" customWidth="1"/>
    <col min="4102" max="4102" width="12.88671875" style="7" bestFit="1" customWidth="1"/>
    <col min="4103" max="4352" width="11.44140625" style="7"/>
    <col min="4353" max="4353" width="5.44140625" style="7" bestFit="1" customWidth="1"/>
    <col min="4354" max="4354" width="49" style="7" bestFit="1" customWidth="1"/>
    <col min="4355" max="4355" width="11.5546875" style="7" bestFit="1" customWidth="1"/>
    <col min="4356" max="4356" width="11.44140625" style="7"/>
    <col min="4357" max="4357" width="12.44140625" style="7" bestFit="1" customWidth="1"/>
    <col min="4358" max="4358" width="12.88671875" style="7" bestFit="1" customWidth="1"/>
    <col min="4359" max="4608" width="11.44140625" style="7"/>
    <col min="4609" max="4609" width="5.44140625" style="7" bestFit="1" customWidth="1"/>
    <col min="4610" max="4610" width="49" style="7" bestFit="1" customWidth="1"/>
    <col min="4611" max="4611" width="11.5546875" style="7" bestFit="1" customWidth="1"/>
    <col min="4612" max="4612" width="11.44140625" style="7"/>
    <col min="4613" max="4613" width="12.44140625" style="7" bestFit="1" customWidth="1"/>
    <col min="4614" max="4614" width="12.88671875" style="7" bestFit="1" customWidth="1"/>
    <col min="4615" max="4864" width="11.44140625" style="7"/>
    <col min="4865" max="4865" width="5.44140625" style="7" bestFit="1" customWidth="1"/>
    <col min="4866" max="4866" width="49" style="7" bestFit="1" customWidth="1"/>
    <col min="4867" max="4867" width="11.5546875" style="7" bestFit="1" customWidth="1"/>
    <col min="4868" max="4868" width="11.44140625" style="7"/>
    <col min="4869" max="4869" width="12.44140625" style="7" bestFit="1" customWidth="1"/>
    <col min="4870" max="4870" width="12.88671875" style="7" bestFit="1" customWidth="1"/>
    <col min="4871" max="5120" width="11.44140625" style="7"/>
    <col min="5121" max="5121" width="5.44140625" style="7" bestFit="1" customWidth="1"/>
    <col min="5122" max="5122" width="49" style="7" bestFit="1" customWidth="1"/>
    <col min="5123" max="5123" width="11.5546875" style="7" bestFit="1" customWidth="1"/>
    <col min="5124" max="5124" width="11.44140625" style="7"/>
    <col min="5125" max="5125" width="12.44140625" style="7" bestFit="1" customWidth="1"/>
    <col min="5126" max="5126" width="12.88671875" style="7" bestFit="1" customWidth="1"/>
    <col min="5127" max="5376" width="11.44140625" style="7"/>
    <col min="5377" max="5377" width="5.44140625" style="7" bestFit="1" customWidth="1"/>
    <col min="5378" max="5378" width="49" style="7" bestFit="1" customWidth="1"/>
    <col min="5379" max="5379" width="11.5546875" style="7" bestFit="1" customWidth="1"/>
    <col min="5380" max="5380" width="11.44140625" style="7"/>
    <col min="5381" max="5381" width="12.44140625" style="7" bestFit="1" customWidth="1"/>
    <col min="5382" max="5382" width="12.88671875" style="7" bestFit="1" customWidth="1"/>
    <col min="5383" max="5632" width="11.44140625" style="7"/>
    <col min="5633" max="5633" width="5.44140625" style="7" bestFit="1" customWidth="1"/>
    <col min="5634" max="5634" width="49" style="7" bestFit="1" customWidth="1"/>
    <col min="5635" max="5635" width="11.5546875" style="7" bestFit="1" customWidth="1"/>
    <col min="5636" max="5636" width="11.44140625" style="7"/>
    <col min="5637" max="5637" width="12.44140625" style="7" bestFit="1" customWidth="1"/>
    <col min="5638" max="5638" width="12.88671875" style="7" bestFit="1" customWidth="1"/>
    <col min="5639" max="5888" width="11.44140625" style="7"/>
    <col min="5889" max="5889" width="5.44140625" style="7" bestFit="1" customWidth="1"/>
    <col min="5890" max="5890" width="49" style="7" bestFit="1" customWidth="1"/>
    <col min="5891" max="5891" width="11.5546875" style="7" bestFit="1" customWidth="1"/>
    <col min="5892" max="5892" width="11.44140625" style="7"/>
    <col min="5893" max="5893" width="12.44140625" style="7" bestFit="1" customWidth="1"/>
    <col min="5894" max="5894" width="12.88671875" style="7" bestFit="1" customWidth="1"/>
    <col min="5895" max="6144" width="11.44140625" style="7"/>
    <col min="6145" max="6145" width="5.44140625" style="7" bestFit="1" customWidth="1"/>
    <col min="6146" max="6146" width="49" style="7" bestFit="1" customWidth="1"/>
    <col min="6147" max="6147" width="11.5546875" style="7" bestFit="1" customWidth="1"/>
    <col min="6148" max="6148" width="11.44140625" style="7"/>
    <col min="6149" max="6149" width="12.44140625" style="7" bestFit="1" customWidth="1"/>
    <col min="6150" max="6150" width="12.88671875" style="7" bestFit="1" customWidth="1"/>
    <col min="6151" max="6400" width="11.44140625" style="7"/>
    <col min="6401" max="6401" width="5.44140625" style="7" bestFit="1" customWidth="1"/>
    <col min="6402" max="6402" width="49" style="7" bestFit="1" customWidth="1"/>
    <col min="6403" max="6403" width="11.5546875" style="7" bestFit="1" customWidth="1"/>
    <col min="6404" max="6404" width="11.44140625" style="7"/>
    <col min="6405" max="6405" width="12.44140625" style="7" bestFit="1" customWidth="1"/>
    <col min="6406" max="6406" width="12.88671875" style="7" bestFit="1" customWidth="1"/>
    <col min="6407" max="6656" width="11.44140625" style="7"/>
    <col min="6657" max="6657" width="5.44140625" style="7" bestFit="1" customWidth="1"/>
    <col min="6658" max="6658" width="49" style="7" bestFit="1" customWidth="1"/>
    <col min="6659" max="6659" width="11.5546875" style="7" bestFit="1" customWidth="1"/>
    <col min="6660" max="6660" width="11.44140625" style="7"/>
    <col min="6661" max="6661" width="12.44140625" style="7" bestFit="1" customWidth="1"/>
    <col min="6662" max="6662" width="12.88671875" style="7" bestFit="1" customWidth="1"/>
    <col min="6663" max="6912" width="11.44140625" style="7"/>
    <col min="6913" max="6913" width="5.44140625" style="7" bestFit="1" customWidth="1"/>
    <col min="6914" max="6914" width="49" style="7" bestFit="1" customWidth="1"/>
    <col min="6915" max="6915" width="11.5546875" style="7" bestFit="1" customWidth="1"/>
    <col min="6916" max="6916" width="11.44140625" style="7"/>
    <col min="6917" max="6917" width="12.44140625" style="7" bestFit="1" customWidth="1"/>
    <col min="6918" max="6918" width="12.88671875" style="7" bestFit="1" customWidth="1"/>
    <col min="6919" max="7168" width="11.44140625" style="7"/>
    <col min="7169" max="7169" width="5.44140625" style="7" bestFit="1" customWidth="1"/>
    <col min="7170" max="7170" width="49" style="7" bestFit="1" customWidth="1"/>
    <col min="7171" max="7171" width="11.5546875" style="7" bestFit="1" customWidth="1"/>
    <col min="7172" max="7172" width="11.44140625" style="7"/>
    <col min="7173" max="7173" width="12.44140625" style="7" bestFit="1" customWidth="1"/>
    <col min="7174" max="7174" width="12.88671875" style="7" bestFit="1" customWidth="1"/>
    <col min="7175" max="7424" width="11.44140625" style="7"/>
    <col min="7425" max="7425" width="5.44140625" style="7" bestFit="1" customWidth="1"/>
    <col min="7426" max="7426" width="49" style="7" bestFit="1" customWidth="1"/>
    <col min="7427" max="7427" width="11.5546875" style="7" bestFit="1" customWidth="1"/>
    <col min="7428" max="7428" width="11.44140625" style="7"/>
    <col min="7429" max="7429" width="12.44140625" style="7" bestFit="1" customWidth="1"/>
    <col min="7430" max="7430" width="12.88671875" style="7" bestFit="1" customWidth="1"/>
    <col min="7431" max="7680" width="11.44140625" style="7"/>
    <col min="7681" max="7681" width="5.44140625" style="7" bestFit="1" customWidth="1"/>
    <col min="7682" max="7682" width="49" style="7" bestFit="1" customWidth="1"/>
    <col min="7683" max="7683" width="11.5546875" style="7" bestFit="1" customWidth="1"/>
    <col min="7684" max="7684" width="11.44140625" style="7"/>
    <col min="7685" max="7685" width="12.44140625" style="7" bestFit="1" customWidth="1"/>
    <col min="7686" max="7686" width="12.88671875" style="7" bestFit="1" customWidth="1"/>
    <col min="7687" max="7936" width="11.44140625" style="7"/>
    <col min="7937" max="7937" width="5.44140625" style="7" bestFit="1" customWidth="1"/>
    <col min="7938" max="7938" width="49" style="7" bestFit="1" customWidth="1"/>
    <col min="7939" max="7939" width="11.5546875" style="7" bestFit="1" customWidth="1"/>
    <col min="7940" max="7940" width="11.44140625" style="7"/>
    <col min="7941" max="7941" width="12.44140625" style="7" bestFit="1" customWidth="1"/>
    <col min="7942" max="7942" width="12.88671875" style="7" bestFit="1" customWidth="1"/>
    <col min="7943" max="8192" width="11.44140625" style="7"/>
    <col min="8193" max="8193" width="5.44140625" style="7" bestFit="1" customWidth="1"/>
    <col min="8194" max="8194" width="49" style="7" bestFit="1" customWidth="1"/>
    <col min="8195" max="8195" width="11.5546875" style="7" bestFit="1" customWidth="1"/>
    <col min="8196" max="8196" width="11.44140625" style="7"/>
    <col min="8197" max="8197" width="12.44140625" style="7" bestFit="1" customWidth="1"/>
    <col min="8198" max="8198" width="12.88671875" style="7" bestFit="1" customWidth="1"/>
    <col min="8199" max="8448" width="11.44140625" style="7"/>
    <col min="8449" max="8449" width="5.44140625" style="7" bestFit="1" customWidth="1"/>
    <col min="8450" max="8450" width="49" style="7" bestFit="1" customWidth="1"/>
    <col min="8451" max="8451" width="11.5546875" style="7" bestFit="1" customWidth="1"/>
    <col min="8452" max="8452" width="11.44140625" style="7"/>
    <col min="8453" max="8453" width="12.44140625" style="7" bestFit="1" customWidth="1"/>
    <col min="8454" max="8454" width="12.88671875" style="7" bestFit="1" customWidth="1"/>
    <col min="8455" max="8704" width="11.44140625" style="7"/>
    <col min="8705" max="8705" width="5.44140625" style="7" bestFit="1" customWidth="1"/>
    <col min="8706" max="8706" width="49" style="7" bestFit="1" customWidth="1"/>
    <col min="8707" max="8707" width="11.5546875" style="7" bestFit="1" customWidth="1"/>
    <col min="8708" max="8708" width="11.44140625" style="7"/>
    <col min="8709" max="8709" width="12.44140625" style="7" bestFit="1" customWidth="1"/>
    <col min="8710" max="8710" width="12.88671875" style="7" bestFit="1" customWidth="1"/>
    <col min="8711" max="8960" width="11.44140625" style="7"/>
    <col min="8961" max="8961" width="5.44140625" style="7" bestFit="1" customWidth="1"/>
    <col min="8962" max="8962" width="49" style="7" bestFit="1" customWidth="1"/>
    <col min="8963" max="8963" width="11.5546875" style="7" bestFit="1" customWidth="1"/>
    <col min="8964" max="8964" width="11.44140625" style="7"/>
    <col min="8965" max="8965" width="12.44140625" style="7" bestFit="1" customWidth="1"/>
    <col min="8966" max="8966" width="12.88671875" style="7" bestFit="1" customWidth="1"/>
    <col min="8967" max="9216" width="11.44140625" style="7"/>
    <col min="9217" max="9217" width="5.44140625" style="7" bestFit="1" customWidth="1"/>
    <col min="9218" max="9218" width="49" style="7" bestFit="1" customWidth="1"/>
    <col min="9219" max="9219" width="11.5546875" style="7" bestFit="1" customWidth="1"/>
    <col min="9220" max="9220" width="11.44140625" style="7"/>
    <col min="9221" max="9221" width="12.44140625" style="7" bestFit="1" customWidth="1"/>
    <col min="9222" max="9222" width="12.88671875" style="7" bestFit="1" customWidth="1"/>
    <col min="9223" max="9472" width="11.44140625" style="7"/>
    <col min="9473" max="9473" width="5.44140625" style="7" bestFit="1" customWidth="1"/>
    <col min="9474" max="9474" width="49" style="7" bestFit="1" customWidth="1"/>
    <col min="9475" max="9475" width="11.5546875" style="7" bestFit="1" customWidth="1"/>
    <col min="9476" max="9476" width="11.44140625" style="7"/>
    <col min="9477" max="9477" width="12.44140625" style="7" bestFit="1" customWidth="1"/>
    <col min="9478" max="9478" width="12.88671875" style="7" bestFit="1" customWidth="1"/>
    <col min="9479" max="9728" width="11.44140625" style="7"/>
    <col min="9729" max="9729" width="5.44140625" style="7" bestFit="1" customWidth="1"/>
    <col min="9730" max="9730" width="49" style="7" bestFit="1" customWidth="1"/>
    <col min="9731" max="9731" width="11.5546875" style="7" bestFit="1" customWidth="1"/>
    <col min="9732" max="9732" width="11.44140625" style="7"/>
    <col min="9733" max="9733" width="12.44140625" style="7" bestFit="1" customWidth="1"/>
    <col min="9734" max="9734" width="12.88671875" style="7" bestFit="1" customWidth="1"/>
    <col min="9735" max="9984" width="11.44140625" style="7"/>
    <col min="9985" max="9985" width="5.44140625" style="7" bestFit="1" customWidth="1"/>
    <col min="9986" max="9986" width="49" style="7" bestFit="1" customWidth="1"/>
    <col min="9987" max="9987" width="11.5546875" style="7" bestFit="1" customWidth="1"/>
    <col min="9988" max="9988" width="11.44140625" style="7"/>
    <col min="9989" max="9989" width="12.44140625" style="7" bestFit="1" customWidth="1"/>
    <col min="9990" max="9990" width="12.88671875" style="7" bestFit="1" customWidth="1"/>
    <col min="9991" max="10240" width="11.44140625" style="7"/>
    <col min="10241" max="10241" width="5.44140625" style="7" bestFit="1" customWidth="1"/>
    <col min="10242" max="10242" width="49" style="7" bestFit="1" customWidth="1"/>
    <col min="10243" max="10243" width="11.5546875" style="7" bestFit="1" customWidth="1"/>
    <col min="10244" max="10244" width="11.44140625" style="7"/>
    <col min="10245" max="10245" width="12.44140625" style="7" bestFit="1" customWidth="1"/>
    <col min="10246" max="10246" width="12.88671875" style="7" bestFit="1" customWidth="1"/>
    <col min="10247" max="10496" width="11.44140625" style="7"/>
    <col min="10497" max="10497" width="5.44140625" style="7" bestFit="1" customWidth="1"/>
    <col min="10498" max="10498" width="49" style="7" bestFit="1" customWidth="1"/>
    <col min="10499" max="10499" width="11.5546875" style="7" bestFit="1" customWidth="1"/>
    <col min="10500" max="10500" width="11.44140625" style="7"/>
    <col min="10501" max="10501" width="12.44140625" style="7" bestFit="1" customWidth="1"/>
    <col min="10502" max="10502" width="12.88671875" style="7" bestFit="1" customWidth="1"/>
    <col min="10503" max="10752" width="11.44140625" style="7"/>
    <col min="10753" max="10753" width="5.44140625" style="7" bestFit="1" customWidth="1"/>
    <col min="10754" max="10754" width="49" style="7" bestFit="1" customWidth="1"/>
    <col min="10755" max="10755" width="11.5546875" style="7" bestFit="1" customWidth="1"/>
    <col min="10756" max="10756" width="11.44140625" style="7"/>
    <col min="10757" max="10757" width="12.44140625" style="7" bestFit="1" customWidth="1"/>
    <col min="10758" max="10758" width="12.88671875" style="7" bestFit="1" customWidth="1"/>
    <col min="10759" max="11008" width="11.44140625" style="7"/>
    <col min="11009" max="11009" width="5.44140625" style="7" bestFit="1" customWidth="1"/>
    <col min="11010" max="11010" width="49" style="7" bestFit="1" customWidth="1"/>
    <col min="11011" max="11011" width="11.5546875" style="7" bestFit="1" customWidth="1"/>
    <col min="11012" max="11012" width="11.44140625" style="7"/>
    <col min="11013" max="11013" width="12.44140625" style="7" bestFit="1" customWidth="1"/>
    <col min="11014" max="11014" width="12.88671875" style="7" bestFit="1" customWidth="1"/>
    <col min="11015" max="11264" width="11.44140625" style="7"/>
    <col min="11265" max="11265" width="5.44140625" style="7" bestFit="1" customWidth="1"/>
    <col min="11266" max="11266" width="49" style="7" bestFit="1" customWidth="1"/>
    <col min="11267" max="11267" width="11.5546875" style="7" bestFit="1" customWidth="1"/>
    <col min="11268" max="11268" width="11.44140625" style="7"/>
    <col min="11269" max="11269" width="12.44140625" style="7" bestFit="1" customWidth="1"/>
    <col min="11270" max="11270" width="12.88671875" style="7" bestFit="1" customWidth="1"/>
    <col min="11271" max="11520" width="11.44140625" style="7"/>
    <col min="11521" max="11521" width="5.44140625" style="7" bestFit="1" customWidth="1"/>
    <col min="11522" max="11522" width="49" style="7" bestFit="1" customWidth="1"/>
    <col min="11523" max="11523" width="11.5546875" style="7" bestFit="1" customWidth="1"/>
    <col min="11524" max="11524" width="11.44140625" style="7"/>
    <col min="11525" max="11525" width="12.44140625" style="7" bestFit="1" customWidth="1"/>
    <col min="11526" max="11526" width="12.88671875" style="7" bestFit="1" customWidth="1"/>
    <col min="11527" max="11776" width="11.44140625" style="7"/>
    <col min="11777" max="11777" width="5.44140625" style="7" bestFit="1" customWidth="1"/>
    <col min="11778" max="11778" width="49" style="7" bestFit="1" customWidth="1"/>
    <col min="11779" max="11779" width="11.5546875" style="7" bestFit="1" customWidth="1"/>
    <col min="11780" max="11780" width="11.44140625" style="7"/>
    <col min="11781" max="11781" width="12.44140625" style="7" bestFit="1" customWidth="1"/>
    <col min="11782" max="11782" width="12.88671875" style="7" bestFit="1" customWidth="1"/>
    <col min="11783" max="12032" width="11.44140625" style="7"/>
    <col min="12033" max="12033" width="5.44140625" style="7" bestFit="1" customWidth="1"/>
    <col min="12034" max="12034" width="49" style="7" bestFit="1" customWidth="1"/>
    <col min="12035" max="12035" width="11.5546875" style="7" bestFit="1" customWidth="1"/>
    <col min="12036" max="12036" width="11.44140625" style="7"/>
    <col min="12037" max="12037" width="12.44140625" style="7" bestFit="1" customWidth="1"/>
    <col min="12038" max="12038" width="12.88671875" style="7" bestFit="1" customWidth="1"/>
    <col min="12039" max="12288" width="11.44140625" style="7"/>
    <col min="12289" max="12289" width="5.44140625" style="7" bestFit="1" customWidth="1"/>
    <col min="12290" max="12290" width="49" style="7" bestFit="1" customWidth="1"/>
    <col min="12291" max="12291" width="11.5546875" style="7" bestFit="1" customWidth="1"/>
    <col min="12292" max="12292" width="11.44140625" style="7"/>
    <col min="12293" max="12293" width="12.44140625" style="7" bestFit="1" customWidth="1"/>
    <col min="12294" max="12294" width="12.88671875" style="7" bestFit="1" customWidth="1"/>
    <col min="12295" max="12544" width="11.44140625" style="7"/>
    <col min="12545" max="12545" width="5.44140625" style="7" bestFit="1" customWidth="1"/>
    <col min="12546" max="12546" width="49" style="7" bestFit="1" customWidth="1"/>
    <col min="12547" max="12547" width="11.5546875" style="7" bestFit="1" customWidth="1"/>
    <col min="12548" max="12548" width="11.44140625" style="7"/>
    <col min="12549" max="12549" width="12.44140625" style="7" bestFit="1" customWidth="1"/>
    <col min="12550" max="12550" width="12.88671875" style="7" bestFit="1" customWidth="1"/>
    <col min="12551" max="12800" width="11.44140625" style="7"/>
    <col min="12801" max="12801" width="5.44140625" style="7" bestFit="1" customWidth="1"/>
    <col min="12802" max="12802" width="49" style="7" bestFit="1" customWidth="1"/>
    <col min="12803" max="12803" width="11.5546875" style="7" bestFit="1" customWidth="1"/>
    <col min="12804" max="12804" width="11.44140625" style="7"/>
    <col min="12805" max="12805" width="12.44140625" style="7" bestFit="1" customWidth="1"/>
    <col min="12806" max="12806" width="12.88671875" style="7" bestFit="1" customWidth="1"/>
    <col min="12807" max="13056" width="11.44140625" style="7"/>
    <col min="13057" max="13057" width="5.44140625" style="7" bestFit="1" customWidth="1"/>
    <col min="13058" max="13058" width="49" style="7" bestFit="1" customWidth="1"/>
    <col min="13059" max="13059" width="11.5546875" style="7" bestFit="1" customWidth="1"/>
    <col min="13060" max="13060" width="11.44140625" style="7"/>
    <col min="13061" max="13061" width="12.44140625" style="7" bestFit="1" customWidth="1"/>
    <col min="13062" max="13062" width="12.88671875" style="7" bestFit="1" customWidth="1"/>
    <col min="13063" max="13312" width="11.44140625" style="7"/>
    <col min="13313" max="13313" width="5.44140625" style="7" bestFit="1" customWidth="1"/>
    <col min="13314" max="13314" width="49" style="7" bestFit="1" customWidth="1"/>
    <col min="13315" max="13315" width="11.5546875" style="7" bestFit="1" customWidth="1"/>
    <col min="13316" max="13316" width="11.44140625" style="7"/>
    <col min="13317" max="13317" width="12.44140625" style="7" bestFit="1" customWidth="1"/>
    <col min="13318" max="13318" width="12.88671875" style="7" bestFit="1" customWidth="1"/>
    <col min="13319" max="13568" width="11.44140625" style="7"/>
    <col min="13569" max="13569" width="5.44140625" style="7" bestFit="1" customWidth="1"/>
    <col min="13570" max="13570" width="49" style="7" bestFit="1" customWidth="1"/>
    <col min="13571" max="13571" width="11.5546875" style="7" bestFit="1" customWidth="1"/>
    <col min="13572" max="13572" width="11.44140625" style="7"/>
    <col min="13573" max="13573" width="12.44140625" style="7" bestFit="1" customWidth="1"/>
    <col min="13574" max="13574" width="12.88671875" style="7" bestFit="1" customWidth="1"/>
    <col min="13575" max="13824" width="11.44140625" style="7"/>
    <col min="13825" max="13825" width="5.44140625" style="7" bestFit="1" customWidth="1"/>
    <col min="13826" max="13826" width="49" style="7" bestFit="1" customWidth="1"/>
    <col min="13827" max="13827" width="11.5546875" style="7" bestFit="1" customWidth="1"/>
    <col min="13828" max="13828" width="11.44140625" style="7"/>
    <col min="13829" max="13829" width="12.44140625" style="7" bestFit="1" customWidth="1"/>
    <col min="13830" max="13830" width="12.88671875" style="7" bestFit="1" customWidth="1"/>
    <col min="13831" max="14080" width="11.44140625" style="7"/>
    <col min="14081" max="14081" width="5.44140625" style="7" bestFit="1" customWidth="1"/>
    <col min="14082" max="14082" width="49" style="7" bestFit="1" customWidth="1"/>
    <col min="14083" max="14083" width="11.5546875" style="7" bestFit="1" customWidth="1"/>
    <col min="14084" max="14084" width="11.44140625" style="7"/>
    <col min="14085" max="14085" width="12.44140625" style="7" bestFit="1" customWidth="1"/>
    <col min="14086" max="14086" width="12.88671875" style="7" bestFit="1" customWidth="1"/>
    <col min="14087" max="14336" width="11.44140625" style="7"/>
    <col min="14337" max="14337" width="5.44140625" style="7" bestFit="1" customWidth="1"/>
    <col min="14338" max="14338" width="49" style="7" bestFit="1" customWidth="1"/>
    <col min="14339" max="14339" width="11.5546875" style="7" bestFit="1" customWidth="1"/>
    <col min="14340" max="14340" width="11.44140625" style="7"/>
    <col min="14341" max="14341" width="12.44140625" style="7" bestFit="1" customWidth="1"/>
    <col min="14342" max="14342" width="12.88671875" style="7" bestFit="1" customWidth="1"/>
    <col min="14343" max="14592" width="11.44140625" style="7"/>
    <col min="14593" max="14593" width="5.44140625" style="7" bestFit="1" customWidth="1"/>
    <col min="14594" max="14594" width="49" style="7" bestFit="1" customWidth="1"/>
    <col min="14595" max="14595" width="11.5546875" style="7" bestFit="1" customWidth="1"/>
    <col min="14596" max="14596" width="11.44140625" style="7"/>
    <col min="14597" max="14597" width="12.44140625" style="7" bestFit="1" customWidth="1"/>
    <col min="14598" max="14598" width="12.88671875" style="7" bestFit="1" customWidth="1"/>
    <col min="14599" max="14848" width="11.44140625" style="7"/>
    <col min="14849" max="14849" width="5.44140625" style="7" bestFit="1" customWidth="1"/>
    <col min="14850" max="14850" width="49" style="7" bestFit="1" customWidth="1"/>
    <col min="14851" max="14851" width="11.5546875" style="7" bestFit="1" customWidth="1"/>
    <col min="14852" max="14852" width="11.44140625" style="7"/>
    <col min="14853" max="14853" width="12.44140625" style="7" bestFit="1" customWidth="1"/>
    <col min="14854" max="14854" width="12.88671875" style="7" bestFit="1" customWidth="1"/>
    <col min="14855" max="15104" width="11.44140625" style="7"/>
    <col min="15105" max="15105" width="5.44140625" style="7" bestFit="1" customWidth="1"/>
    <col min="15106" max="15106" width="49" style="7" bestFit="1" customWidth="1"/>
    <col min="15107" max="15107" width="11.5546875" style="7" bestFit="1" customWidth="1"/>
    <col min="15108" max="15108" width="11.44140625" style="7"/>
    <col min="15109" max="15109" width="12.44140625" style="7" bestFit="1" customWidth="1"/>
    <col min="15110" max="15110" width="12.88671875" style="7" bestFit="1" customWidth="1"/>
    <col min="15111" max="15360" width="11.44140625" style="7"/>
    <col min="15361" max="15361" width="5.44140625" style="7" bestFit="1" customWidth="1"/>
    <col min="15362" max="15362" width="49" style="7" bestFit="1" customWidth="1"/>
    <col min="15363" max="15363" width="11.5546875" style="7" bestFit="1" customWidth="1"/>
    <col min="15364" max="15364" width="11.44140625" style="7"/>
    <col min="15365" max="15365" width="12.44140625" style="7" bestFit="1" customWidth="1"/>
    <col min="15366" max="15366" width="12.88671875" style="7" bestFit="1" customWidth="1"/>
    <col min="15367" max="15616" width="11.44140625" style="7"/>
    <col min="15617" max="15617" width="5.44140625" style="7" bestFit="1" customWidth="1"/>
    <col min="15618" max="15618" width="49" style="7" bestFit="1" customWidth="1"/>
    <col min="15619" max="15619" width="11.5546875" style="7" bestFit="1" customWidth="1"/>
    <col min="15620" max="15620" width="11.44140625" style="7"/>
    <col min="15621" max="15621" width="12.44140625" style="7" bestFit="1" customWidth="1"/>
    <col min="15622" max="15622" width="12.88671875" style="7" bestFit="1" customWidth="1"/>
    <col min="15623" max="15872" width="11.44140625" style="7"/>
    <col min="15873" max="15873" width="5.44140625" style="7" bestFit="1" customWidth="1"/>
    <col min="15874" max="15874" width="49" style="7" bestFit="1" customWidth="1"/>
    <col min="15875" max="15875" width="11.5546875" style="7" bestFit="1" customWidth="1"/>
    <col min="15876" max="15876" width="11.44140625" style="7"/>
    <col min="15877" max="15877" width="12.44140625" style="7" bestFit="1" customWidth="1"/>
    <col min="15878" max="15878" width="12.88671875" style="7" bestFit="1" customWidth="1"/>
    <col min="15879" max="16128" width="11.44140625" style="7"/>
    <col min="16129" max="16129" width="5.44140625" style="7" bestFit="1" customWidth="1"/>
    <col min="16130" max="16130" width="49" style="7" bestFit="1" customWidth="1"/>
    <col min="16131" max="16131" width="11.5546875" style="7" bestFit="1" customWidth="1"/>
    <col min="16132" max="16132" width="11.44140625" style="7"/>
    <col min="16133" max="16133" width="12.44140625" style="7" bestFit="1" customWidth="1"/>
    <col min="16134" max="16134" width="12.88671875" style="7" bestFit="1" customWidth="1"/>
    <col min="16135" max="16384" width="11.44140625" style="7"/>
  </cols>
  <sheetData>
    <row r="5" spans="1:6" ht="15.6" x14ac:dyDescent="0.3">
      <c r="A5" s="2"/>
      <c r="B5" s="3" t="s">
        <v>212</v>
      </c>
      <c r="C5" s="4"/>
      <c r="D5" s="5"/>
      <c r="E5" s="6"/>
      <c r="F5" s="6"/>
    </row>
    <row r="6" spans="1:6" ht="15" x14ac:dyDescent="0.25">
      <c r="A6" s="14"/>
      <c r="B6" s="15" t="s">
        <v>213</v>
      </c>
      <c r="C6" s="16">
        <v>500</v>
      </c>
      <c r="D6" s="17" t="s">
        <v>214</v>
      </c>
      <c r="E6" s="18">
        <v>240</v>
      </c>
      <c r="F6" s="19">
        <f>C6*E6</f>
        <v>120000</v>
      </c>
    </row>
    <row r="7" spans="1:6" ht="15" x14ac:dyDescent="0.25">
      <c r="A7" s="14"/>
      <c r="B7" s="15" t="s">
        <v>215</v>
      </c>
      <c r="C7" s="16">
        <v>500</v>
      </c>
      <c r="D7" s="17" t="s">
        <v>214</v>
      </c>
      <c r="E7" s="18">
        <v>2</v>
      </c>
      <c r="F7" s="19">
        <f>C7*E7</f>
        <v>1000</v>
      </c>
    </row>
    <row r="8" spans="1:6" ht="15.6" thickBot="1" x14ac:dyDescent="0.3">
      <c r="A8" s="14"/>
      <c r="B8" s="15" t="s">
        <v>216</v>
      </c>
      <c r="C8" s="16">
        <v>0.01</v>
      </c>
      <c r="D8" s="17" t="s">
        <v>200</v>
      </c>
      <c r="E8" s="18">
        <f>SUM(F6:F7)</f>
        <v>121000</v>
      </c>
      <c r="F8" s="19">
        <f>C8*E8</f>
        <v>1210</v>
      </c>
    </row>
    <row r="9" spans="1:6" ht="16.8" thickTop="1" thickBot="1" x14ac:dyDescent="0.35">
      <c r="A9" s="32"/>
      <c r="B9" s="33"/>
      <c r="C9" s="34"/>
      <c r="D9" s="35"/>
      <c r="E9" s="36" t="s">
        <v>174</v>
      </c>
      <c r="F9" s="37">
        <f>SUM(F6:F8)/500</f>
        <v>244.42</v>
      </c>
    </row>
    <row r="10" spans="1:6" ht="13.8" thickTop="1" x14ac:dyDescent="0.25"/>
    <row r="11" spans="1:6" ht="16.2" thickBot="1" x14ac:dyDescent="0.35">
      <c r="A11" s="2"/>
      <c r="B11" s="3" t="s">
        <v>28</v>
      </c>
      <c r="C11" s="4"/>
      <c r="D11" s="5"/>
      <c r="E11" s="6"/>
      <c r="F11" s="6"/>
    </row>
    <row r="12" spans="1:6" ht="16.2" thickTop="1" x14ac:dyDescent="0.3">
      <c r="A12" s="8" t="s">
        <v>29</v>
      </c>
      <c r="B12" s="9" t="s">
        <v>30</v>
      </c>
      <c r="C12" s="10" t="s">
        <v>2</v>
      </c>
      <c r="D12" s="11" t="s">
        <v>1</v>
      </c>
      <c r="E12" s="12" t="s">
        <v>3</v>
      </c>
      <c r="F12" s="13" t="s">
        <v>31</v>
      </c>
    </row>
    <row r="13" spans="1:6" ht="15" x14ac:dyDescent="0.25">
      <c r="A13" s="14" t="s">
        <v>32</v>
      </c>
      <c r="B13" s="15" t="s">
        <v>33</v>
      </c>
      <c r="C13" s="16">
        <v>1</v>
      </c>
      <c r="D13" s="17" t="s">
        <v>34</v>
      </c>
      <c r="E13" s="18">
        <v>1500</v>
      </c>
      <c r="F13" s="19">
        <f t="shared" ref="F13:F19" si="0">+E13*C13</f>
        <v>1500</v>
      </c>
    </row>
    <row r="14" spans="1:6" ht="15" x14ac:dyDescent="0.25">
      <c r="A14" s="14" t="s">
        <v>35</v>
      </c>
      <c r="B14" s="15" t="s">
        <v>36</v>
      </c>
      <c r="C14" s="16">
        <v>2</v>
      </c>
      <c r="D14" s="17" t="s">
        <v>37</v>
      </c>
      <c r="E14" s="18">
        <v>185</v>
      </c>
      <c r="F14" s="19">
        <f t="shared" si="0"/>
        <v>370</v>
      </c>
    </row>
    <row r="15" spans="1:6" ht="15" x14ac:dyDescent="0.25">
      <c r="A15" s="14" t="s">
        <v>38</v>
      </c>
      <c r="B15" s="15" t="s">
        <v>10</v>
      </c>
      <c r="C15" s="16">
        <v>1</v>
      </c>
      <c r="D15" s="17" t="s">
        <v>34</v>
      </c>
      <c r="E15" s="18">
        <v>900</v>
      </c>
      <c r="F15" s="19">
        <f t="shared" si="0"/>
        <v>900</v>
      </c>
    </row>
    <row r="16" spans="1:6" ht="30" x14ac:dyDescent="0.25">
      <c r="A16" s="14" t="s">
        <v>39</v>
      </c>
      <c r="B16" s="20" t="s">
        <v>40</v>
      </c>
      <c r="C16" s="16">
        <v>1</v>
      </c>
      <c r="D16" s="17" t="s">
        <v>34</v>
      </c>
      <c r="E16" s="18">
        <f>6*600</f>
        <v>3600</v>
      </c>
      <c r="F16" s="19">
        <f t="shared" si="0"/>
        <v>3600</v>
      </c>
    </row>
    <row r="17" spans="1:6" ht="15" x14ac:dyDescent="0.25">
      <c r="A17" s="14" t="s">
        <v>41</v>
      </c>
      <c r="B17" s="15" t="s">
        <v>42</v>
      </c>
      <c r="C17" s="16">
        <v>1</v>
      </c>
      <c r="D17" s="17" t="s">
        <v>34</v>
      </c>
      <c r="E17" s="18">
        <v>600</v>
      </c>
      <c r="F17" s="19">
        <f t="shared" si="0"/>
        <v>600</v>
      </c>
    </row>
    <row r="18" spans="1:6" ht="15" x14ac:dyDescent="0.25">
      <c r="A18" s="14" t="s">
        <v>43</v>
      </c>
      <c r="B18" s="15" t="s">
        <v>44</v>
      </c>
      <c r="C18" s="16">
        <v>1</v>
      </c>
      <c r="D18" s="17" t="s">
        <v>34</v>
      </c>
      <c r="E18" s="18">
        <f>4*600</f>
        <v>2400</v>
      </c>
      <c r="F18" s="19">
        <f t="shared" si="0"/>
        <v>2400</v>
      </c>
    </row>
    <row r="19" spans="1:6" ht="30" x14ac:dyDescent="0.25">
      <c r="A19" s="14" t="s">
        <v>45</v>
      </c>
      <c r="B19" s="21" t="s">
        <v>46</v>
      </c>
      <c r="C19" s="16">
        <v>1</v>
      </c>
      <c r="D19" s="17" t="s">
        <v>34</v>
      </c>
      <c r="E19" s="18">
        <f>4*600</f>
        <v>2400</v>
      </c>
      <c r="F19" s="19">
        <f t="shared" si="0"/>
        <v>2400</v>
      </c>
    </row>
    <row r="20" spans="1:6" ht="15" x14ac:dyDescent="0.25">
      <c r="A20" s="14"/>
      <c r="B20" s="15"/>
      <c r="C20" s="16"/>
      <c r="D20" s="17"/>
      <c r="E20" s="18"/>
      <c r="F20" s="19"/>
    </row>
    <row r="21" spans="1:6" ht="15.6" x14ac:dyDescent="0.3">
      <c r="A21" s="22"/>
      <c r="B21" s="23" t="s">
        <v>47</v>
      </c>
      <c r="C21" s="16"/>
      <c r="D21" s="17"/>
      <c r="E21" s="18"/>
      <c r="F21" s="24">
        <f>SUM(F13:F20)</f>
        <v>11770</v>
      </c>
    </row>
    <row r="22" spans="1:6" ht="15.6" x14ac:dyDescent="0.25">
      <c r="A22" s="22"/>
      <c r="B22" s="25"/>
      <c r="C22" s="16"/>
      <c r="D22" s="17"/>
      <c r="E22" s="18"/>
      <c r="F22" s="19"/>
    </row>
    <row r="23" spans="1:6" ht="15.6" x14ac:dyDescent="0.25">
      <c r="A23" s="22"/>
      <c r="B23" s="15" t="s">
        <v>48</v>
      </c>
      <c r="C23" s="16">
        <v>11</v>
      </c>
      <c r="D23" s="17" t="s">
        <v>49</v>
      </c>
      <c r="E23" s="18">
        <f>+F21</f>
        <v>11770</v>
      </c>
      <c r="F23" s="19">
        <f>+E23/C23</f>
        <v>1070</v>
      </c>
    </row>
    <row r="24" spans="1:6" ht="16.2" thickBot="1" x14ac:dyDescent="0.3">
      <c r="A24" s="26"/>
      <c r="B24" s="27"/>
      <c r="C24" s="28"/>
      <c r="D24" s="29"/>
      <c r="E24" s="30"/>
      <c r="F24" s="31"/>
    </row>
    <row r="25" spans="1:6" ht="16.8" thickTop="1" thickBot="1" x14ac:dyDescent="0.35">
      <c r="A25" s="32"/>
      <c r="B25" s="33" t="s">
        <v>8</v>
      </c>
      <c r="C25" s="34"/>
      <c r="D25" s="35"/>
      <c r="E25" s="36"/>
      <c r="F25" s="37">
        <f>+F23</f>
        <v>1070</v>
      </c>
    </row>
    <row r="26" spans="1:6" ht="15.6" thickTop="1" x14ac:dyDescent="0.3">
      <c r="A26" s="38"/>
      <c r="B26" s="39"/>
      <c r="C26" s="40"/>
      <c r="D26" s="41"/>
      <c r="E26" s="42"/>
      <c r="F26" s="43"/>
    </row>
    <row r="27" spans="1:6" ht="16.2" thickBot="1" x14ac:dyDescent="0.3">
      <c r="A27" s="44"/>
      <c r="B27" s="45" t="s">
        <v>50</v>
      </c>
      <c r="C27" s="46"/>
      <c r="D27" s="47"/>
      <c r="E27" s="48"/>
      <c r="F27" s="48"/>
    </row>
    <row r="28" spans="1:6" ht="16.2" thickTop="1" x14ac:dyDescent="0.3">
      <c r="A28" s="8" t="s">
        <v>29</v>
      </c>
      <c r="B28" s="9" t="s">
        <v>30</v>
      </c>
      <c r="C28" s="10" t="s">
        <v>2</v>
      </c>
      <c r="D28" s="11" t="s">
        <v>1</v>
      </c>
      <c r="E28" s="12" t="s">
        <v>3</v>
      </c>
      <c r="F28" s="13" t="s">
        <v>31</v>
      </c>
    </row>
    <row r="29" spans="1:6" ht="15" x14ac:dyDescent="0.25">
      <c r="A29" s="49" t="s">
        <v>32</v>
      </c>
      <c r="B29" s="50" t="s">
        <v>51</v>
      </c>
      <c r="C29" s="51">
        <v>5</v>
      </c>
      <c r="D29" s="52" t="s">
        <v>52</v>
      </c>
      <c r="E29" s="53">
        <v>285</v>
      </c>
      <c r="F29" s="54">
        <f t="shared" ref="F29:F40" si="1">ROUND(C29*E29,2)</f>
        <v>1425</v>
      </c>
    </row>
    <row r="30" spans="1:6" ht="15" x14ac:dyDescent="0.25">
      <c r="A30" s="55" t="s">
        <v>35</v>
      </c>
      <c r="B30" s="56" t="s">
        <v>53</v>
      </c>
      <c r="C30" s="57">
        <v>6</v>
      </c>
      <c r="D30" s="58" t="s">
        <v>52</v>
      </c>
      <c r="E30" s="59">
        <v>45</v>
      </c>
      <c r="F30" s="60">
        <f t="shared" si="1"/>
        <v>270</v>
      </c>
    </row>
    <row r="31" spans="1:6" ht="15" x14ac:dyDescent="0.25">
      <c r="A31" s="55" t="s">
        <v>38</v>
      </c>
      <c r="B31" s="56" t="s">
        <v>54</v>
      </c>
      <c r="C31" s="57">
        <v>4</v>
      </c>
      <c r="D31" s="58" t="s">
        <v>52</v>
      </c>
      <c r="E31" s="59">
        <v>65</v>
      </c>
      <c r="F31" s="60">
        <f t="shared" si="1"/>
        <v>260</v>
      </c>
    </row>
    <row r="32" spans="1:6" ht="15" x14ac:dyDescent="0.25">
      <c r="A32" s="55" t="s">
        <v>39</v>
      </c>
      <c r="B32" s="61" t="s">
        <v>55</v>
      </c>
      <c r="C32" s="57">
        <v>2</v>
      </c>
      <c r="D32" s="58" t="s">
        <v>52</v>
      </c>
      <c r="E32" s="59">
        <v>30</v>
      </c>
      <c r="F32" s="60">
        <f t="shared" si="1"/>
        <v>60</v>
      </c>
    </row>
    <row r="33" spans="1:6" ht="15" x14ac:dyDescent="0.25">
      <c r="A33" s="55" t="s">
        <v>41</v>
      </c>
      <c r="B33" s="62" t="s">
        <v>10</v>
      </c>
      <c r="C33" s="57">
        <v>1</v>
      </c>
      <c r="D33" s="58" t="s">
        <v>52</v>
      </c>
      <c r="E33" s="59">
        <v>900</v>
      </c>
      <c r="F33" s="60">
        <f t="shared" si="1"/>
        <v>900</v>
      </c>
    </row>
    <row r="34" spans="1:6" ht="15" x14ac:dyDescent="0.25">
      <c r="A34" s="55" t="s">
        <v>43</v>
      </c>
      <c r="B34" s="62" t="s">
        <v>56</v>
      </c>
      <c r="C34" s="57">
        <v>2</v>
      </c>
      <c r="D34" s="58" t="s">
        <v>52</v>
      </c>
      <c r="E34" s="59">
        <v>600</v>
      </c>
      <c r="F34" s="60">
        <f t="shared" si="1"/>
        <v>1200</v>
      </c>
    </row>
    <row r="35" spans="1:6" ht="15" x14ac:dyDescent="0.25">
      <c r="A35" s="55" t="s">
        <v>45</v>
      </c>
      <c r="B35" s="63" t="s">
        <v>57</v>
      </c>
      <c r="C35" s="57">
        <v>2</v>
      </c>
      <c r="D35" s="58" t="s">
        <v>52</v>
      </c>
      <c r="E35" s="59">
        <v>600</v>
      </c>
      <c r="F35" s="60">
        <f t="shared" si="1"/>
        <v>1200</v>
      </c>
    </row>
    <row r="36" spans="1:6" ht="15" x14ac:dyDescent="0.25">
      <c r="A36" s="55" t="s">
        <v>58</v>
      </c>
      <c r="B36" s="62" t="s">
        <v>59</v>
      </c>
      <c r="C36" s="57">
        <v>4</v>
      </c>
      <c r="D36" s="58" t="s">
        <v>52</v>
      </c>
      <c r="E36" s="59">
        <v>600</v>
      </c>
      <c r="F36" s="60">
        <f t="shared" si="1"/>
        <v>2400</v>
      </c>
    </row>
    <row r="37" spans="1:6" ht="15" x14ac:dyDescent="0.25">
      <c r="A37" s="55" t="s">
        <v>60</v>
      </c>
      <c r="B37" s="62" t="s">
        <v>61</v>
      </c>
      <c r="C37" s="57">
        <v>2</v>
      </c>
      <c r="D37" s="58" t="s">
        <v>52</v>
      </c>
      <c r="E37" s="59">
        <v>600</v>
      </c>
      <c r="F37" s="60">
        <f t="shared" si="1"/>
        <v>1200</v>
      </c>
    </row>
    <row r="38" spans="1:6" ht="15" x14ac:dyDescent="0.25">
      <c r="A38" s="55" t="s">
        <v>62</v>
      </c>
      <c r="B38" s="62" t="s">
        <v>63</v>
      </c>
      <c r="C38" s="57">
        <v>2</v>
      </c>
      <c r="D38" s="58" t="s">
        <v>52</v>
      </c>
      <c r="E38" s="59">
        <v>600</v>
      </c>
      <c r="F38" s="60">
        <f t="shared" si="1"/>
        <v>1200</v>
      </c>
    </row>
    <row r="39" spans="1:6" ht="15" x14ac:dyDescent="0.25">
      <c r="A39" s="55" t="s">
        <v>64</v>
      </c>
      <c r="B39" s="61" t="s">
        <v>65</v>
      </c>
      <c r="C39" s="57">
        <v>1</v>
      </c>
      <c r="D39" s="58" t="s">
        <v>52</v>
      </c>
      <c r="E39" s="59">
        <v>600</v>
      </c>
      <c r="F39" s="60">
        <f t="shared" si="1"/>
        <v>600</v>
      </c>
    </row>
    <row r="40" spans="1:6" ht="30" x14ac:dyDescent="0.25">
      <c r="A40" s="55" t="s">
        <v>66</v>
      </c>
      <c r="B40" s="64" t="s">
        <v>67</v>
      </c>
      <c r="C40" s="57">
        <v>6</v>
      </c>
      <c r="D40" s="58" t="s">
        <v>52</v>
      </c>
      <c r="E40" s="59">
        <v>40</v>
      </c>
      <c r="F40" s="60">
        <f t="shared" si="1"/>
        <v>240</v>
      </c>
    </row>
    <row r="41" spans="1:6" ht="15" x14ac:dyDescent="0.25">
      <c r="A41" s="65"/>
      <c r="B41" s="62"/>
      <c r="C41" s="57"/>
      <c r="D41" s="58"/>
      <c r="E41" s="66" t="s">
        <v>68</v>
      </c>
      <c r="F41" s="67">
        <f>SUM(F29:F40)</f>
        <v>10955</v>
      </c>
    </row>
    <row r="42" spans="1:6" ht="15" x14ac:dyDescent="0.25">
      <c r="A42" s="65"/>
      <c r="B42" s="62" t="s">
        <v>48</v>
      </c>
      <c r="C42" s="57">
        <v>14</v>
      </c>
      <c r="D42" s="58" t="s">
        <v>49</v>
      </c>
      <c r="E42" s="68">
        <f>F41</f>
        <v>10955</v>
      </c>
      <c r="F42" s="67">
        <f>E42/C42</f>
        <v>782.5</v>
      </c>
    </row>
    <row r="43" spans="1:6" ht="15.6" thickBot="1" x14ac:dyDescent="0.3">
      <c r="A43" s="69"/>
      <c r="B43" s="70"/>
      <c r="C43" s="71"/>
      <c r="D43" s="72"/>
      <c r="E43" s="73"/>
      <c r="F43" s="74"/>
    </row>
    <row r="44" spans="1:6" ht="16.8" thickTop="1" thickBot="1" x14ac:dyDescent="0.35">
      <c r="A44" s="32"/>
      <c r="B44" s="33" t="s">
        <v>69</v>
      </c>
      <c r="C44" s="34"/>
      <c r="D44" s="35"/>
      <c r="E44" s="36"/>
      <c r="F44" s="37">
        <f>F41/14</f>
        <v>782.5</v>
      </c>
    </row>
    <row r="45" spans="1:6" ht="16.2" thickTop="1" x14ac:dyDescent="0.3">
      <c r="A45" s="75"/>
      <c r="B45" s="76"/>
      <c r="C45" s="77"/>
      <c r="D45" s="78"/>
      <c r="E45" s="79"/>
      <c r="F45" s="80"/>
    </row>
    <row r="46" spans="1:6" ht="16.2" thickBot="1" x14ac:dyDescent="0.35">
      <c r="A46" s="44"/>
      <c r="B46" s="81" t="s">
        <v>70</v>
      </c>
      <c r="C46" s="82"/>
      <c r="D46" s="83"/>
      <c r="E46" s="83"/>
      <c r="F46" s="83"/>
    </row>
    <row r="47" spans="1:6" ht="16.2" thickTop="1" x14ac:dyDescent="0.3">
      <c r="A47" s="8" t="s">
        <v>29</v>
      </c>
      <c r="B47" s="9" t="s">
        <v>30</v>
      </c>
      <c r="C47" s="10" t="s">
        <v>2</v>
      </c>
      <c r="D47" s="11" t="s">
        <v>1</v>
      </c>
      <c r="E47" s="12" t="s">
        <v>3</v>
      </c>
      <c r="F47" s="13" t="s">
        <v>31</v>
      </c>
    </row>
    <row r="48" spans="1:6" ht="15" x14ac:dyDescent="0.25">
      <c r="A48" s="14" t="s">
        <v>32</v>
      </c>
      <c r="B48" s="15" t="s">
        <v>71</v>
      </c>
      <c r="C48" s="16">
        <v>60</v>
      </c>
      <c r="D48" s="84" t="s">
        <v>37</v>
      </c>
      <c r="E48" s="18">
        <v>2</v>
      </c>
      <c r="F48" s="19">
        <f>+E48*C48</f>
        <v>120</v>
      </c>
    </row>
    <row r="49" spans="1:6" ht="15" x14ac:dyDescent="0.25">
      <c r="A49" s="14" t="s">
        <v>35</v>
      </c>
      <c r="B49" s="15" t="s">
        <v>72</v>
      </c>
      <c r="C49" s="16">
        <v>11</v>
      </c>
      <c r="D49" s="17" t="s">
        <v>73</v>
      </c>
      <c r="E49" s="18">
        <f>F9</f>
        <v>244.42</v>
      </c>
      <c r="F49" s="19">
        <f>+E49*C49</f>
        <v>2688.62</v>
      </c>
    </row>
    <row r="50" spans="1:6" ht="15" x14ac:dyDescent="0.25">
      <c r="A50" s="85" t="s">
        <v>38</v>
      </c>
      <c r="B50" s="15" t="s">
        <v>74</v>
      </c>
      <c r="C50" s="16">
        <v>0.5</v>
      </c>
      <c r="D50" s="84" t="s">
        <v>75</v>
      </c>
      <c r="E50" s="18">
        <v>1100</v>
      </c>
      <c r="F50" s="19">
        <f>+E50*C50</f>
        <v>550</v>
      </c>
    </row>
    <row r="51" spans="1:6" ht="15" x14ac:dyDescent="0.25">
      <c r="A51" s="85" t="s">
        <v>39</v>
      </c>
      <c r="B51" s="15" t="s">
        <v>76</v>
      </c>
      <c r="C51" s="16">
        <v>0.5</v>
      </c>
      <c r="D51" s="84" t="s">
        <v>75</v>
      </c>
      <c r="E51" s="18">
        <v>950</v>
      </c>
      <c r="F51" s="19">
        <f>+E51*C51</f>
        <v>475</v>
      </c>
    </row>
    <row r="52" spans="1:6" ht="15" x14ac:dyDescent="0.25">
      <c r="A52" s="14" t="s">
        <v>45</v>
      </c>
      <c r="B52" s="15" t="s">
        <v>77</v>
      </c>
      <c r="C52" s="16">
        <v>1</v>
      </c>
      <c r="D52" s="84" t="s">
        <v>75</v>
      </c>
      <c r="E52" s="18">
        <f>F25</f>
        <v>1070</v>
      </c>
      <c r="F52" s="19">
        <f>+E52*C52</f>
        <v>1070</v>
      </c>
    </row>
    <row r="53" spans="1:6" ht="15.6" thickBot="1" x14ac:dyDescent="0.3">
      <c r="A53" s="86"/>
      <c r="B53" s="87"/>
      <c r="C53" s="28"/>
      <c r="D53" s="88"/>
      <c r="E53" s="30"/>
      <c r="F53" s="31"/>
    </row>
    <row r="54" spans="1:6" ht="16.8" thickTop="1" thickBot="1" x14ac:dyDescent="0.35">
      <c r="A54" s="32"/>
      <c r="B54" s="33" t="s">
        <v>69</v>
      </c>
      <c r="C54" s="34"/>
      <c r="D54" s="35"/>
      <c r="E54" s="36"/>
      <c r="F54" s="37">
        <f>SUM(F48:F53)</f>
        <v>4903.62</v>
      </c>
    </row>
    <row r="55" spans="1:6" ht="16.8" thickTop="1" thickBot="1" x14ac:dyDescent="0.35">
      <c r="A55" s="89"/>
      <c r="B55" s="90"/>
      <c r="C55" s="91"/>
      <c r="D55" s="92"/>
      <c r="E55" s="93"/>
      <c r="F55" s="94"/>
    </row>
    <row r="56" spans="1:6" ht="16.8" thickTop="1" thickBot="1" x14ac:dyDescent="0.35">
      <c r="A56" s="44"/>
      <c r="B56" s="81" t="s">
        <v>78</v>
      </c>
      <c r="C56" s="82"/>
      <c r="D56" s="83"/>
      <c r="E56" s="83"/>
      <c r="F56" s="83"/>
    </row>
    <row r="57" spans="1:6" ht="16.2" thickTop="1" x14ac:dyDescent="0.3">
      <c r="A57" s="8" t="s">
        <v>29</v>
      </c>
      <c r="B57" s="9" t="s">
        <v>30</v>
      </c>
      <c r="C57" s="10" t="s">
        <v>2</v>
      </c>
      <c r="D57" s="11" t="s">
        <v>1</v>
      </c>
      <c r="E57" s="12" t="s">
        <v>3</v>
      </c>
      <c r="F57" s="13" t="s">
        <v>31</v>
      </c>
    </row>
    <row r="58" spans="1:6" ht="15" x14ac:dyDescent="0.25">
      <c r="A58" s="14" t="s">
        <v>32</v>
      </c>
      <c r="B58" s="15" t="s">
        <v>71</v>
      </c>
      <c r="C58" s="16">
        <v>60</v>
      </c>
      <c r="D58" s="84" t="s">
        <v>37</v>
      </c>
      <c r="E58" s="18">
        <v>2</v>
      </c>
      <c r="F58" s="19">
        <f>+E58*C58</f>
        <v>120</v>
      </c>
    </row>
    <row r="59" spans="1:6" ht="15" x14ac:dyDescent="0.25">
      <c r="A59" s="14" t="s">
        <v>35</v>
      </c>
      <c r="B59" s="15" t="s">
        <v>72</v>
      </c>
      <c r="C59" s="16">
        <v>10</v>
      </c>
      <c r="D59" s="17" t="s">
        <v>73</v>
      </c>
      <c r="E59" s="18">
        <f>E49</f>
        <v>244.42</v>
      </c>
      <c r="F59" s="19">
        <f>+E59*C59</f>
        <v>2444.1999999999998</v>
      </c>
    </row>
    <row r="60" spans="1:6" ht="15" x14ac:dyDescent="0.25">
      <c r="A60" s="85" t="s">
        <v>38</v>
      </c>
      <c r="B60" s="15" t="s">
        <v>74</v>
      </c>
      <c r="C60" s="16">
        <v>0.55000000000000004</v>
      </c>
      <c r="D60" s="84" t="s">
        <v>75</v>
      </c>
      <c r="E60" s="18">
        <f>E50</f>
        <v>1100</v>
      </c>
      <c r="F60" s="19">
        <f>+E60*C60</f>
        <v>605</v>
      </c>
    </row>
    <row r="61" spans="1:6" ht="15" x14ac:dyDescent="0.25">
      <c r="A61" s="85" t="s">
        <v>39</v>
      </c>
      <c r="B61" s="15" t="s">
        <v>76</v>
      </c>
      <c r="C61" s="16">
        <v>0.5</v>
      </c>
      <c r="D61" s="84" t="s">
        <v>75</v>
      </c>
      <c r="E61" s="18">
        <f>E51</f>
        <v>950</v>
      </c>
      <c r="F61" s="19">
        <f>+E61*C61</f>
        <v>475</v>
      </c>
    </row>
    <row r="62" spans="1:6" ht="15" x14ac:dyDescent="0.25">
      <c r="A62" s="14" t="s">
        <v>45</v>
      </c>
      <c r="B62" s="15" t="s">
        <v>77</v>
      </c>
      <c r="C62" s="16">
        <v>1</v>
      </c>
      <c r="D62" s="84" t="s">
        <v>75</v>
      </c>
      <c r="E62" s="18">
        <f>E52</f>
        <v>1070</v>
      </c>
      <c r="F62" s="19">
        <f>+E62*C62</f>
        <v>1070</v>
      </c>
    </row>
    <row r="63" spans="1:6" ht="15.6" thickBot="1" x14ac:dyDescent="0.3">
      <c r="A63" s="86"/>
      <c r="B63" s="87"/>
      <c r="C63" s="28"/>
      <c r="D63" s="88"/>
      <c r="E63" s="30"/>
      <c r="F63" s="31"/>
    </row>
    <row r="64" spans="1:6" ht="16.8" thickTop="1" thickBot="1" x14ac:dyDescent="0.35">
      <c r="A64" s="32"/>
      <c r="B64" s="33" t="s">
        <v>69</v>
      </c>
      <c r="C64" s="34"/>
      <c r="D64" s="35"/>
      <c r="E64" s="36"/>
      <c r="F64" s="37">
        <f>SUM(F58:F63)</f>
        <v>4714.2</v>
      </c>
    </row>
    <row r="65" spans="1:6" ht="16.2" thickTop="1" x14ac:dyDescent="0.3">
      <c r="A65" s="75"/>
      <c r="B65" s="76"/>
      <c r="C65" s="77"/>
      <c r="D65" s="78"/>
      <c r="E65" s="79"/>
      <c r="F65" s="80"/>
    </row>
    <row r="66" spans="1:6" ht="16.2" thickBot="1" x14ac:dyDescent="0.35">
      <c r="A66" s="95"/>
      <c r="B66" s="81" t="s">
        <v>79</v>
      </c>
      <c r="C66" s="96"/>
      <c r="D66" s="97"/>
      <c r="E66" s="98"/>
      <c r="F66" s="99"/>
    </row>
    <row r="67" spans="1:6" ht="16.2" thickTop="1" x14ac:dyDescent="0.3">
      <c r="A67" s="100" t="s">
        <v>29</v>
      </c>
      <c r="B67" s="101" t="s">
        <v>30</v>
      </c>
      <c r="C67" s="102" t="s">
        <v>2</v>
      </c>
      <c r="D67" s="103" t="s">
        <v>1</v>
      </c>
      <c r="E67" s="104" t="s">
        <v>3</v>
      </c>
      <c r="F67" s="105" t="s">
        <v>31</v>
      </c>
    </row>
    <row r="68" spans="1:6" ht="15" x14ac:dyDescent="0.25">
      <c r="A68" s="14" t="s">
        <v>32</v>
      </c>
      <c r="B68" s="15" t="s">
        <v>71</v>
      </c>
      <c r="C68" s="16">
        <v>60</v>
      </c>
      <c r="D68" s="84" t="s">
        <v>37</v>
      </c>
      <c r="E68" s="18">
        <v>2</v>
      </c>
      <c r="F68" s="19">
        <f>+E68*C68</f>
        <v>120</v>
      </c>
    </row>
    <row r="69" spans="1:6" ht="15" x14ac:dyDescent="0.25">
      <c r="A69" s="14" t="s">
        <v>35</v>
      </c>
      <c r="B69" s="15" t="s">
        <v>72</v>
      </c>
      <c r="C69" s="16">
        <v>9</v>
      </c>
      <c r="D69" s="17" t="s">
        <v>73</v>
      </c>
      <c r="E69" s="18">
        <f>E59</f>
        <v>244.42</v>
      </c>
      <c r="F69" s="19">
        <f>+E69*C69</f>
        <v>2199.7799999999997</v>
      </c>
    </row>
    <row r="70" spans="1:6" ht="15" x14ac:dyDescent="0.25">
      <c r="A70" s="85" t="s">
        <v>38</v>
      </c>
      <c r="B70" s="15" t="s">
        <v>74</v>
      </c>
      <c r="C70" s="16">
        <v>0.56999999999999995</v>
      </c>
      <c r="D70" s="84" t="s">
        <v>75</v>
      </c>
      <c r="E70" s="18">
        <f>E60</f>
        <v>1100</v>
      </c>
      <c r="F70" s="19">
        <f>+E70*C70</f>
        <v>627</v>
      </c>
    </row>
    <row r="71" spans="1:6" ht="15" x14ac:dyDescent="0.25">
      <c r="A71" s="85" t="s">
        <v>39</v>
      </c>
      <c r="B71" s="15" t="s">
        <v>76</v>
      </c>
      <c r="C71" s="16">
        <v>0.53</v>
      </c>
      <c r="D71" s="84" t="s">
        <v>75</v>
      </c>
      <c r="E71" s="18">
        <f>E61</f>
        <v>950</v>
      </c>
      <c r="F71" s="19">
        <f>+E71*C71</f>
        <v>503.5</v>
      </c>
    </row>
    <row r="72" spans="1:6" ht="15" x14ac:dyDescent="0.25">
      <c r="A72" s="14" t="s">
        <v>45</v>
      </c>
      <c r="B72" s="15" t="s">
        <v>77</v>
      </c>
      <c r="C72" s="16">
        <v>1</v>
      </c>
      <c r="D72" s="84" t="s">
        <v>75</v>
      </c>
      <c r="E72" s="18">
        <f>F25</f>
        <v>1070</v>
      </c>
      <c r="F72" s="19">
        <f>+E72*C72</f>
        <v>1070</v>
      </c>
    </row>
    <row r="73" spans="1:6" ht="15.6" thickBot="1" x14ac:dyDescent="0.3">
      <c r="A73" s="86"/>
      <c r="B73" s="87"/>
      <c r="C73" s="28"/>
      <c r="D73" s="88"/>
      <c r="E73" s="30"/>
      <c r="F73" s="31"/>
    </row>
    <row r="74" spans="1:6" ht="16.8" thickTop="1" thickBot="1" x14ac:dyDescent="0.35">
      <c r="A74" s="32"/>
      <c r="B74" s="33" t="s">
        <v>69</v>
      </c>
      <c r="C74" s="34"/>
      <c r="D74" s="35"/>
      <c r="E74" s="36"/>
      <c r="F74" s="37">
        <f>SUM(F68:F73)</f>
        <v>4520.28</v>
      </c>
    </row>
    <row r="75" spans="1:6" ht="16.2" thickTop="1" x14ac:dyDescent="0.3">
      <c r="A75" s="106"/>
      <c r="B75" s="107"/>
      <c r="C75" s="108"/>
      <c r="D75" s="109"/>
      <c r="E75" s="110"/>
      <c r="F75" s="111"/>
    </row>
    <row r="76" spans="1:6" ht="16.2" thickBot="1" x14ac:dyDescent="0.35">
      <c r="A76" s="44"/>
      <c r="B76" s="81" t="s">
        <v>80</v>
      </c>
      <c r="C76" s="82"/>
      <c r="D76" s="83"/>
      <c r="E76" s="83"/>
      <c r="F76" s="83"/>
    </row>
    <row r="77" spans="1:6" ht="16.2" thickTop="1" x14ac:dyDescent="0.3">
      <c r="A77" s="100" t="s">
        <v>29</v>
      </c>
      <c r="B77" s="101" t="s">
        <v>30</v>
      </c>
      <c r="C77" s="102" t="s">
        <v>2</v>
      </c>
      <c r="D77" s="103" t="s">
        <v>1</v>
      </c>
      <c r="E77" s="104" t="s">
        <v>3</v>
      </c>
      <c r="F77" s="105" t="s">
        <v>31</v>
      </c>
    </row>
    <row r="78" spans="1:6" ht="15" x14ac:dyDescent="0.25">
      <c r="A78" s="14" t="s">
        <v>32</v>
      </c>
      <c r="B78" s="15" t="s">
        <v>71</v>
      </c>
      <c r="C78" s="16">
        <v>60</v>
      </c>
      <c r="D78" s="84" t="s">
        <v>37</v>
      </c>
      <c r="E78" s="18">
        <v>2</v>
      </c>
      <c r="F78" s="19">
        <f>+E78*C78</f>
        <v>120</v>
      </c>
    </row>
    <row r="79" spans="1:6" ht="15" x14ac:dyDescent="0.25">
      <c r="A79" s="14" t="s">
        <v>35</v>
      </c>
      <c r="B79" s="15" t="s">
        <v>72</v>
      </c>
      <c r="C79" s="16">
        <v>11</v>
      </c>
      <c r="D79" s="17" t="s">
        <v>73</v>
      </c>
      <c r="E79" s="18">
        <v>300</v>
      </c>
      <c r="F79" s="19">
        <f>+E79*C79</f>
        <v>3300</v>
      </c>
    </row>
    <row r="80" spans="1:6" ht="15" x14ac:dyDescent="0.25">
      <c r="A80" s="85" t="s">
        <v>38</v>
      </c>
      <c r="B80" s="15" t="s">
        <v>74</v>
      </c>
      <c r="C80" s="16">
        <v>0.55000000000000004</v>
      </c>
      <c r="D80" s="84" t="s">
        <v>75</v>
      </c>
      <c r="E80" s="18">
        <f>E70</f>
        <v>1100</v>
      </c>
      <c r="F80" s="19">
        <f>+E80*C80</f>
        <v>605</v>
      </c>
    </row>
    <row r="81" spans="1:10" ht="15" x14ac:dyDescent="0.25">
      <c r="A81" s="85" t="s">
        <v>39</v>
      </c>
      <c r="B81" s="15" t="s">
        <v>76</v>
      </c>
      <c r="C81" s="16">
        <v>0.5</v>
      </c>
      <c r="D81" s="84" t="s">
        <v>75</v>
      </c>
      <c r="E81" s="18">
        <f>E71</f>
        <v>950</v>
      </c>
      <c r="F81" s="19">
        <f>+E81*C81</f>
        <v>475</v>
      </c>
    </row>
    <row r="82" spans="1:10" ht="15" x14ac:dyDescent="0.25">
      <c r="A82" s="14" t="s">
        <v>45</v>
      </c>
      <c r="B82" s="15" t="s">
        <v>81</v>
      </c>
      <c r="C82" s="16">
        <v>1</v>
      </c>
      <c r="D82" s="84" t="s">
        <v>75</v>
      </c>
      <c r="E82" s="18">
        <f>F44</f>
        <v>782.5</v>
      </c>
      <c r="F82" s="19">
        <f>+E82*C82</f>
        <v>782.5</v>
      </c>
    </row>
    <row r="83" spans="1:10" ht="15.6" thickBot="1" x14ac:dyDescent="0.3">
      <c r="A83" s="86"/>
      <c r="B83" s="87"/>
      <c r="C83" s="28"/>
      <c r="D83" s="88"/>
      <c r="E83" s="30"/>
      <c r="F83" s="31"/>
    </row>
    <row r="84" spans="1:10" ht="16.8" thickTop="1" thickBot="1" x14ac:dyDescent="0.35">
      <c r="A84" s="32"/>
      <c r="B84" s="33" t="s">
        <v>69</v>
      </c>
      <c r="C84" s="34"/>
      <c r="D84" s="35"/>
      <c r="E84" s="36"/>
      <c r="F84" s="37">
        <f>SUM(F78:F83)</f>
        <v>5282.5</v>
      </c>
    </row>
    <row r="85" spans="1:10" ht="16.2" thickTop="1" x14ac:dyDescent="0.3">
      <c r="A85" s="106"/>
      <c r="B85" s="107"/>
      <c r="C85" s="108"/>
      <c r="D85" s="109"/>
      <c r="E85" s="110"/>
      <c r="F85" s="111"/>
    </row>
    <row r="86" spans="1:10" ht="16.2" thickBot="1" x14ac:dyDescent="0.35">
      <c r="A86" s="95"/>
      <c r="B86" s="81" t="s">
        <v>82</v>
      </c>
      <c r="C86" s="96"/>
      <c r="D86" s="97"/>
      <c r="E86" s="98"/>
      <c r="F86" s="99"/>
    </row>
    <row r="87" spans="1:10" ht="16.2" thickTop="1" x14ac:dyDescent="0.3">
      <c r="A87" s="100" t="s">
        <v>29</v>
      </c>
      <c r="B87" s="101" t="s">
        <v>30</v>
      </c>
      <c r="C87" s="102" t="s">
        <v>2</v>
      </c>
      <c r="D87" s="103" t="s">
        <v>1</v>
      </c>
      <c r="E87" s="104" t="s">
        <v>3</v>
      </c>
      <c r="F87" s="105" t="s">
        <v>31</v>
      </c>
    </row>
    <row r="88" spans="1:10" ht="15" x14ac:dyDescent="0.25">
      <c r="A88" s="14" t="s">
        <v>32</v>
      </c>
      <c r="B88" s="15" t="s">
        <v>71</v>
      </c>
      <c r="C88" s="16">
        <v>60</v>
      </c>
      <c r="D88" s="84" t="s">
        <v>37</v>
      </c>
      <c r="E88" s="18">
        <v>2</v>
      </c>
      <c r="F88" s="19">
        <f>+E88*C88</f>
        <v>120</v>
      </c>
    </row>
    <row r="89" spans="1:10" ht="15" x14ac:dyDescent="0.25">
      <c r="A89" s="14" t="s">
        <v>35</v>
      </c>
      <c r="B89" s="15" t="s">
        <v>72</v>
      </c>
      <c r="C89" s="16">
        <v>9</v>
      </c>
      <c r="D89" s="17" t="s">
        <v>73</v>
      </c>
      <c r="E89" s="18">
        <f>E79</f>
        <v>300</v>
      </c>
      <c r="F89" s="19">
        <f>+E89*C89</f>
        <v>2700</v>
      </c>
      <c r="H89" s="7">
        <f>55*1*0.1</f>
        <v>5.5</v>
      </c>
      <c r="I89" s="7">
        <f>H89*C89</f>
        <v>49.5</v>
      </c>
      <c r="J89" s="7">
        <f>I89*1.05</f>
        <v>51.975000000000001</v>
      </c>
    </row>
    <row r="90" spans="1:10" ht="15" x14ac:dyDescent="0.25">
      <c r="A90" s="85" t="s">
        <v>38</v>
      </c>
      <c r="B90" s="15" t="s">
        <v>74</v>
      </c>
      <c r="C90" s="16">
        <v>0.56999999999999995</v>
      </c>
      <c r="D90" s="84" t="s">
        <v>75</v>
      </c>
      <c r="E90" s="18">
        <f>E80</f>
        <v>1100</v>
      </c>
      <c r="F90" s="19">
        <f>+E90*C90</f>
        <v>627</v>
      </c>
      <c r="I90" s="7">
        <f>H89*C90</f>
        <v>3.1349999999999998</v>
      </c>
    </row>
    <row r="91" spans="1:10" ht="15" x14ac:dyDescent="0.25">
      <c r="A91" s="85" t="s">
        <v>39</v>
      </c>
      <c r="B91" s="15" t="s">
        <v>76</v>
      </c>
      <c r="C91" s="16">
        <v>0.53</v>
      </c>
      <c r="D91" s="84" t="s">
        <v>75</v>
      </c>
      <c r="E91" s="18">
        <f>E81</f>
        <v>950</v>
      </c>
      <c r="F91" s="19">
        <f>+E91*C91</f>
        <v>503.5</v>
      </c>
    </row>
    <row r="92" spans="1:10" ht="15" x14ac:dyDescent="0.25">
      <c r="A92" s="14" t="s">
        <v>45</v>
      </c>
      <c r="B92" s="15" t="s">
        <v>83</v>
      </c>
      <c r="C92" s="16">
        <v>1</v>
      </c>
      <c r="D92" s="84" t="s">
        <v>75</v>
      </c>
      <c r="E92" s="18">
        <f>E82</f>
        <v>782.5</v>
      </c>
      <c r="F92" s="19">
        <f>+E92*C92</f>
        <v>782.5</v>
      </c>
    </row>
    <row r="93" spans="1:10" ht="15.6" thickBot="1" x14ac:dyDescent="0.3">
      <c r="A93" s="86"/>
      <c r="B93" s="87"/>
      <c r="C93" s="28"/>
      <c r="D93" s="88"/>
      <c r="E93" s="30"/>
      <c r="F93" s="31"/>
    </row>
    <row r="94" spans="1:10" ht="16.8" thickTop="1" thickBot="1" x14ac:dyDescent="0.35">
      <c r="A94" s="32"/>
      <c r="B94" s="33" t="s">
        <v>69</v>
      </c>
      <c r="C94" s="34"/>
      <c r="D94" s="35"/>
      <c r="E94" s="36"/>
      <c r="F94" s="37">
        <f>SUM(F88:F93)</f>
        <v>4733</v>
      </c>
    </row>
    <row r="95" spans="1:10" ht="16.2" thickTop="1" x14ac:dyDescent="0.3">
      <c r="A95" s="75"/>
      <c r="B95" s="76"/>
      <c r="C95" s="77"/>
      <c r="D95" s="78"/>
      <c r="E95" s="79"/>
      <c r="F95" s="80"/>
    </row>
    <row r="96" spans="1:10" ht="16.2" thickBot="1" x14ac:dyDescent="0.35">
      <c r="A96" s="95"/>
      <c r="B96" s="81" t="s">
        <v>84</v>
      </c>
      <c r="C96" s="96"/>
      <c r="D96" s="97"/>
      <c r="E96" s="98"/>
      <c r="F96" s="99"/>
    </row>
    <row r="97" spans="1:6" ht="16.2" thickTop="1" x14ac:dyDescent="0.3">
      <c r="A97" s="100" t="s">
        <v>29</v>
      </c>
      <c r="B97" s="101" t="s">
        <v>30</v>
      </c>
      <c r="C97" s="102" t="s">
        <v>2</v>
      </c>
      <c r="D97" s="103" t="s">
        <v>1</v>
      </c>
      <c r="E97" s="104" t="s">
        <v>3</v>
      </c>
      <c r="F97" s="105" t="s">
        <v>31</v>
      </c>
    </row>
    <row r="98" spans="1:6" ht="15" x14ac:dyDescent="0.25">
      <c r="A98" s="14" t="s">
        <v>32</v>
      </c>
      <c r="B98" s="15" t="s">
        <v>85</v>
      </c>
      <c r="C98" s="16">
        <v>45.24</v>
      </c>
      <c r="D98" s="84" t="s">
        <v>37</v>
      </c>
      <c r="E98" s="18">
        <v>2</v>
      </c>
      <c r="F98" s="19">
        <f>C98*E98</f>
        <v>90.48</v>
      </c>
    </row>
    <row r="99" spans="1:6" ht="15" x14ac:dyDescent="0.25">
      <c r="A99" s="14" t="s">
        <v>35</v>
      </c>
      <c r="B99" s="15" t="s">
        <v>86</v>
      </c>
      <c r="C99" s="16">
        <v>9.4600000000000009</v>
      </c>
      <c r="D99" s="17" t="s">
        <v>73</v>
      </c>
      <c r="E99" s="18">
        <f>E89</f>
        <v>300</v>
      </c>
      <c r="F99" s="19">
        <f>+E99*C99</f>
        <v>2838.0000000000005</v>
      </c>
    </row>
    <row r="100" spans="1:6" ht="15" x14ac:dyDescent="0.25">
      <c r="A100" s="85" t="s">
        <v>38</v>
      </c>
      <c r="B100" s="15" t="s">
        <v>87</v>
      </c>
      <c r="C100" s="16">
        <v>1</v>
      </c>
      <c r="D100" s="84" t="s">
        <v>75</v>
      </c>
      <c r="E100" s="18">
        <v>850</v>
      </c>
      <c r="F100" s="19">
        <f>+E100*C100</f>
        <v>850</v>
      </c>
    </row>
    <row r="101" spans="1:6" ht="15" x14ac:dyDescent="0.25">
      <c r="A101" s="14" t="s">
        <v>39</v>
      </c>
      <c r="B101" s="15" t="s">
        <v>88</v>
      </c>
      <c r="C101" s="16">
        <v>1</v>
      </c>
      <c r="D101" s="84" t="s">
        <v>75</v>
      </c>
      <c r="E101" s="18">
        <f>F44</f>
        <v>782.5</v>
      </c>
      <c r="F101" s="19">
        <f>+E101*C101</f>
        <v>782.5</v>
      </c>
    </row>
    <row r="102" spans="1:6" ht="15" x14ac:dyDescent="0.25">
      <c r="A102" s="14" t="s">
        <v>41</v>
      </c>
      <c r="B102" s="15" t="s">
        <v>9</v>
      </c>
      <c r="C102" s="112">
        <v>0.05</v>
      </c>
      <c r="D102" s="17"/>
      <c r="E102" s="113">
        <f>SUM(F98:F101)</f>
        <v>4560.9800000000005</v>
      </c>
      <c r="F102" s="19">
        <f>+E102*C102</f>
        <v>228.04900000000004</v>
      </c>
    </row>
    <row r="103" spans="1:6" ht="15.6" thickBot="1" x14ac:dyDescent="0.3">
      <c r="A103" s="114"/>
      <c r="B103" s="115"/>
      <c r="C103" s="116"/>
      <c r="D103" s="117"/>
      <c r="E103" s="118"/>
      <c r="F103" s="119"/>
    </row>
    <row r="104" spans="1:6" ht="16.8" thickTop="1" thickBot="1" x14ac:dyDescent="0.35">
      <c r="A104" s="32"/>
      <c r="B104" s="33" t="s">
        <v>69</v>
      </c>
      <c r="C104" s="34"/>
      <c r="D104" s="35"/>
      <c r="E104" s="36"/>
      <c r="F104" s="37">
        <f>SUM(F98:F103)</f>
        <v>4789.0290000000005</v>
      </c>
    </row>
    <row r="105" spans="1:6" ht="16.2" thickTop="1" x14ac:dyDescent="0.25">
      <c r="A105" s="120"/>
      <c r="B105" s="121"/>
      <c r="C105" s="122"/>
      <c r="D105" s="123"/>
      <c r="E105" s="124"/>
      <c r="F105" s="124"/>
    </row>
    <row r="106" spans="1:6" ht="16.2" thickBot="1" x14ac:dyDescent="0.35">
      <c r="A106" s="95"/>
      <c r="B106" s="81" t="s">
        <v>89</v>
      </c>
      <c r="C106" s="96"/>
      <c r="D106" s="97"/>
      <c r="E106" s="98"/>
      <c r="F106" s="99"/>
    </row>
    <row r="107" spans="1:6" ht="16.2" thickTop="1" x14ac:dyDescent="0.3">
      <c r="A107" s="100" t="s">
        <v>29</v>
      </c>
      <c r="B107" s="101" t="s">
        <v>30</v>
      </c>
      <c r="C107" s="102" t="s">
        <v>2</v>
      </c>
      <c r="D107" s="103" t="s">
        <v>1</v>
      </c>
      <c r="E107" s="104" t="s">
        <v>3</v>
      </c>
      <c r="F107" s="105" t="s">
        <v>31</v>
      </c>
    </row>
    <row r="108" spans="1:6" ht="15" x14ac:dyDescent="0.25">
      <c r="A108" s="14" t="s">
        <v>32</v>
      </c>
      <c r="B108" s="15" t="s">
        <v>85</v>
      </c>
      <c r="C108" s="16">
        <v>68</v>
      </c>
      <c r="D108" s="84" t="s">
        <v>37</v>
      </c>
      <c r="E108" s="18">
        <v>2</v>
      </c>
      <c r="F108" s="19">
        <f>+E108*C108</f>
        <v>136</v>
      </c>
    </row>
    <row r="109" spans="1:6" ht="15" x14ac:dyDescent="0.25">
      <c r="A109" s="14" t="s">
        <v>35</v>
      </c>
      <c r="B109" s="15" t="s">
        <v>86</v>
      </c>
      <c r="C109" s="16">
        <v>11</v>
      </c>
      <c r="D109" s="17" t="s">
        <v>73</v>
      </c>
      <c r="E109" s="18">
        <f>E99</f>
        <v>300</v>
      </c>
      <c r="F109" s="19">
        <f>+E109*C109</f>
        <v>3300</v>
      </c>
    </row>
    <row r="110" spans="1:6" ht="15" x14ac:dyDescent="0.25">
      <c r="A110" s="85" t="s">
        <v>38</v>
      </c>
      <c r="B110" s="15" t="s">
        <v>90</v>
      </c>
      <c r="C110" s="16">
        <v>1</v>
      </c>
      <c r="D110" s="84" t="s">
        <v>75</v>
      </c>
      <c r="E110" s="18">
        <v>1400</v>
      </c>
      <c r="F110" s="19">
        <f>+E110*C110</f>
        <v>1400</v>
      </c>
    </row>
    <row r="111" spans="1:6" ht="15" x14ac:dyDescent="0.25">
      <c r="A111" s="14" t="s">
        <v>39</v>
      </c>
      <c r="B111" s="15" t="s">
        <v>88</v>
      </c>
      <c r="C111" s="16">
        <v>1</v>
      </c>
      <c r="D111" s="84" t="s">
        <v>75</v>
      </c>
      <c r="E111" s="18">
        <f>E101</f>
        <v>782.5</v>
      </c>
      <c r="F111" s="19">
        <f>+E111*C111</f>
        <v>782.5</v>
      </c>
    </row>
    <row r="112" spans="1:6" ht="15" x14ac:dyDescent="0.25">
      <c r="A112" s="14" t="s">
        <v>41</v>
      </c>
      <c r="B112" s="15" t="s">
        <v>9</v>
      </c>
      <c r="C112" s="112">
        <v>0.05</v>
      </c>
      <c r="D112" s="17"/>
      <c r="E112" s="113">
        <f>SUM(F108:F111)</f>
        <v>5618.5</v>
      </c>
      <c r="F112" s="125">
        <f>ROUND(C112*E112,2)</f>
        <v>280.93</v>
      </c>
    </row>
    <row r="113" spans="1:6" ht="15.6" thickBot="1" x14ac:dyDescent="0.3">
      <c r="A113" s="86"/>
      <c r="B113" s="87"/>
      <c r="C113" s="126"/>
      <c r="D113" s="30"/>
      <c r="E113" s="88"/>
      <c r="F113" s="31"/>
    </row>
    <row r="114" spans="1:6" ht="16.8" thickTop="1" thickBot="1" x14ac:dyDescent="0.35">
      <c r="A114" s="33"/>
      <c r="B114" s="34" t="s">
        <v>69</v>
      </c>
      <c r="C114" s="35"/>
      <c r="D114" s="36"/>
      <c r="E114" s="37"/>
      <c r="F114" s="37">
        <f>SUM(F108:F113)</f>
        <v>5899.43</v>
      </c>
    </row>
    <row r="115" spans="1:6" ht="13.8" thickTop="1" x14ac:dyDescent="0.25"/>
    <row r="116" spans="1:6" ht="16.2" thickBot="1" x14ac:dyDescent="0.35">
      <c r="A116" s="95"/>
      <c r="B116" s="81" t="s">
        <v>109</v>
      </c>
      <c r="C116" s="96"/>
      <c r="D116" s="97"/>
      <c r="E116" s="98"/>
      <c r="F116" s="99"/>
    </row>
    <row r="117" spans="1:6" ht="16.2" thickTop="1" x14ac:dyDescent="0.3">
      <c r="A117" s="100" t="s">
        <v>29</v>
      </c>
      <c r="B117" s="101" t="s">
        <v>30</v>
      </c>
      <c r="C117" s="102" t="s">
        <v>2</v>
      </c>
      <c r="D117" s="103" t="s">
        <v>1</v>
      </c>
      <c r="E117" s="104" t="s">
        <v>3</v>
      </c>
      <c r="F117" s="105" t="s">
        <v>31</v>
      </c>
    </row>
    <row r="118" spans="1:6" ht="15" x14ac:dyDescent="0.25">
      <c r="A118" s="14" t="s">
        <v>32</v>
      </c>
      <c r="B118" s="15" t="s">
        <v>71</v>
      </c>
      <c r="C118" s="16">
        <v>55</v>
      </c>
      <c r="D118" s="84" t="s">
        <v>37</v>
      </c>
      <c r="E118" s="18">
        <v>2</v>
      </c>
      <c r="F118" s="19">
        <f>+E118*C118</f>
        <v>110</v>
      </c>
    </row>
    <row r="119" spans="1:6" ht="15" x14ac:dyDescent="0.25">
      <c r="A119" s="14" t="s">
        <v>35</v>
      </c>
      <c r="B119" s="15" t="s">
        <v>72</v>
      </c>
      <c r="C119" s="16">
        <v>5</v>
      </c>
      <c r="D119" s="17" t="s">
        <v>73</v>
      </c>
      <c r="E119" s="18">
        <f>E109</f>
        <v>300</v>
      </c>
      <c r="F119" s="19">
        <f>+E119*C119</f>
        <v>1500</v>
      </c>
    </row>
    <row r="120" spans="1:6" ht="15" x14ac:dyDescent="0.25">
      <c r="A120" s="85" t="s">
        <v>38</v>
      </c>
      <c r="B120" s="15" t="s">
        <v>110</v>
      </c>
      <c r="C120" s="16">
        <v>0.3</v>
      </c>
      <c r="D120" s="84" t="s">
        <v>75</v>
      </c>
      <c r="E120" s="18">
        <f>[26]ANALISISDECOSTO!F145</f>
        <v>850</v>
      </c>
      <c r="F120" s="19">
        <f>+E120*C120</f>
        <v>255</v>
      </c>
    </row>
    <row r="121" spans="1:6" ht="15" x14ac:dyDescent="0.25">
      <c r="A121" s="85" t="s">
        <v>39</v>
      </c>
      <c r="B121" s="15" t="s">
        <v>111</v>
      </c>
      <c r="C121" s="16">
        <v>0.7</v>
      </c>
      <c r="D121" s="84" t="s">
        <v>75</v>
      </c>
      <c r="E121" s="18">
        <v>860</v>
      </c>
      <c r="F121" s="19">
        <f>+E121*C121</f>
        <v>602</v>
      </c>
    </row>
    <row r="122" spans="1:6" ht="15" x14ac:dyDescent="0.25">
      <c r="A122" s="14" t="s">
        <v>45</v>
      </c>
      <c r="B122" s="15" t="s">
        <v>112</v>
      </c>
      <c r="C122" s="16">
        <v>1</v>
      </c>
      <c r="D122" s="84" t="s">
        <v>75</v>
      </c>
      <c r="E122" s="18">
        <f>[26]ANALISISDECOSTO!F135</f>
        <v>450</v>
      </c>
      <c r="F122" s="19">
        <f>+E122*C122</f>
        <v>450</v>
      </c>
    </row>
    <row r="123" spans="1:6" ht="15.6" thickBot="1" x14ac:dyDescent="0.3">
      <c r="A123" s="86"/>
      <c r="B123" s="87"/>
      <c r="C123" s="28"/>
      <c r="D123" s="88"/>
      <c r="E123" s="30"/>
      <c r="F123" s="31"/>
    </row>
    <row r="124" spans="1:6" ht="16.8" thickTop="1" thickBot="1" x14ac:dyDescent="0.35">
      <c r="A124" s="32"/>
      <c r="B124" s="33" t="s">
        <v>69</v>
      </c>
      <c r="C124" s="34"/>
      <c r="D124" s="35"/>
      <c r="E124" s="36"/>
      <c r="F124" s="37">
        <f>SUM(F118:F123)</f>
        <v>2917</v>
      </c>
    </row>
    <row r="125" spans="1:6" ht="13.8" thickTop="1" x14ac:dyDescent="0.25"/>
    <row r="126" spans="1:6" ht="16.2" thickBot="1" x14ac:dyDescent="0.35">
      <c r="A126" s="95"/>
      <c r="B126" s="81" t="s">
        <v>651</v>
      </c>
      <c r="C126" s="96"/>
      <c r="D126" s="97"/>
      <c r="E126" s="98"/>
      <c r="F126" s="99"/>
    </row>
    <row r="127" spans="1:6" ht="16.2" thickTop="1" x14ac:dyDescent="0.3">
      <c r="A127" s="100"/>
      <c r="B127" s="101"/>
      <c r="C127" s="102" t="s">
        <v>135</v>
      </c>
      <c r="D127" s="103" t="s">
        <v>136</v>
      </c>
      <c r="E127" s="104" t="s">
        <v>227</v>
      </c>
      <c r="F127" s="105" t="s">
        <v>138</v>
      </c>
    </row>
    <row r="128" spans="1:6" ht="15" x14ac:dyDescent="0.25">
      <c r="A128" s="14"/>
      <c r="B128" s="15" t="s">
        <v>237</v>
      </c>
      <c r="C128" s="16">
        <v>11</v>
      </c>
      <c r="D128" s="84" t="s">
        <v>214</v>
      </c>
      <c r="E128" s="18">
        <v>290</v>
      </c>
      <c r="F128" s="19">
        <f>C128*E128</f>
        <v>3190</v>
      </c>
    </row>
    <row r="129" spans="1:6" ht="15" x14ac:dyDescent="0.25">
      <c r="A129" s="14"/>
      <c r="B129" s="15" t="s">
        <v>650</v>
      </c>
      <c r="C129" s="16">
        <v>1.1000000000000001</v>
      </c>
      <c r="D129" s="84" t="s">
        <v>232</v>
      </c>
      <c r="E129" s="18">
        <v>450</v>
      </c>
      <c r="F129" s="19">
        <f>C129*E129</f>
        <v>495.00000000000006</v>
      </c>
    </row>
    <row r="130" spans="1:6" ht="15.6" thickBot="1" x14ac:dyDescent="0.3">
      <c r="A130" s="14"/>
      <c r="B130" s="15" t="s">
        <v>239</v>
      </c>
      <c r="C130" s="16">
        <v>80</v>
      </c>
      <c r="D130" s="84" t="s">
        <v>225</v>
      </c>
      <c r="E130" s="18">
        <v>0.3</v>
      </c>
      <c r="F130" s="19">
        <f>+C130*E130</f>
        <v>24</v>
      </c>
    </row>
    <row r="131" spans="1:6" ht="16.8" thickTop="1" thickBot="1" x14ac:dyDescent="0.35">
      <c r="A131" s="894" t="s">
        <v>174</v>
      </c>
      <c r="B131" s="895"/>
      <c r="C131" s="895"/>
      <c r="D131" s="895"/>
      <c r="E131" s="895"/>
      <c r="F131" s="37">
        <f>SUM(F127:F130)</f>
        <v>3709</v>
      </c>
    </row>
    <row r="132" spans="1:6" ht="13.8" thickTop="1" x14ac:dyDescent="0.25"/>
    <row r="134" spans="1:6" ht="16.2" thickBot="1" x14ac:dyDescent="0.35">
      <c r="A134" s="177">
        <v>19</v>
      </c>
      <c r="B134" s="178" t="s">
        <v>114</v>
      </c>
      <c r="C134" s="179"/>
      <c r="D134" s="180"/>
      <c r="E134" s="181"/>
      <c r="F134" s="182"/>
    </row>
    <row r="135" spans="1:6" ht="16.2" thickTop="1" x14ac:dyDescent="0.3">
      <c r="A135" s="183" t="s">
        <v>29</v>
      </c>
      <c r="B135" s="184" t="s">
        <v>30</v>
      </c>
      <c r="C135" s="185" t="s">
        <v>2</v>
      </c>
      <c r="D135" s="186" t="s">
        <v>1</v>
      </c>
      <c r="E135" s="187" t="s">
        <v>3</v>
      </c>
      <c r="F135" s="188" t="s">
        <v>31</v>
      </c>
    </row>
    <row r="136" spans="1:6" ht="15" x14ac:dyDescent="0.25">
      <c r="A136" s="189" t="s">
        <v>32</v>
      </c>
      <c r="B136" s="190" t="s">
        <v>113</v>
      </c>
      <c r="C136" s="191">
        <v>1.1000000000000001</v>
      </c>
      <c r="D136" s="192" t="s">
        <v>75</v>
      </c>
      <c r="E136" s="191">
        <f>F74</f>
        <v>4520.28</v>
      </c>
      <c r="F136" s="193">
        <f>+E136*C136</f>
        <v>4972.308</v>
      </c>
    </row>
    <row r="137" spans="1:6" ht="15" x14ac:dyDescent="0.25">
      <c r="A137" s="189" t="s">
        <v>35</v>
      </c>
      <c r="B137" s="194" t="s">
        <v>16</v>
      </c>
      <c r="C137" s="191">
        <v>1.1200000000000001</v>
      </c>
      <c r="D137" s="195" t="s">
        <v>17</v>
      </c>
      <c r="E137" s="191">
        <v>1850</v>
      </c>
      <c r="F137" s="193">
        <f>+E137*C137</f>
        <v>2072</v>
      </c>
    </row>
    <row r="138" spans="1:6" ht="15" x14ac:dyDescent="0.25">
      <c r="A138" s="189" t="s">
        <v>38</v>
      </c>
      <c r="B138" s="194" t="s">
        <v>97</v>
      </c>
      <c r="C138" s="191">
        <f>C137*2</f>
        <v>2.2400000000000002</v>
      </c>
      <c r="D138" s="195" t="s">
        <v>98</v>
      </c>
      <c r="E138" s="191">
        <v>40</v>
      </c>
      <c r="F138" s="193">
        <f>+E138*C138</f>
        <v>89.600000000000009</v>
      </c>
    </row>
    <row r="139" spans="1:6" ht="15" x14ac:dyDescent="0.25">
      <c r="A139" s="196" t="s">
        <v>39</v>
      </c>
      <c r="B139" s="194" t="s">
        <v>99</v>
      </c>
      <c r="C139" s="191">
        <f>C137</f>
        <v>1.1200000000000001</v>
      </c>
      <c r="D139" s="195" t="s">
        <v>17</v>
      </c>
      <c r="E139" s="191">
        <v>200</v>
      </c>
      <c r="F139" s="193">
        <f>+E139*C139</f>
        <v>224.00000000000003</v>
      </c>
    </row>
    <row r="140" spans="1:6" ht="15.6" thickBot="1" x14ac:dyDescent="0.3">
      <c r="A140" s="197"/>
      <c r="B140" s="198"/>
      <c r="C140" s="199"/>
      <c r="D140" s="200"/>
      <c r="E140" s="199"/>
      <c r="F140" s="201"/>
    </row>
    <row r="141" spans="1:6" ht="16.8" thickTop="1" thickBot="1" x14ac:dyDescent="0.35">
      <c r="A141" s="202"/>
      <c r="B141" s="203" t="s">
        <v>69</v>
      </c>
      <c r="C141" s="204"/>
      <c r="D141" s="205"/>
      <c r="E141" s="204"/>
      <c r="F141" s="206">
        <f>SUM(F136:F140)</f>
        <v>7357.9080000000004</v>
      </c>
    </row>
    <row r="142" spans="1:6" ht="13.8" thickTop="1" x14ac:dyDescent="0.25"/>
    <row r="143" spans="1:6" ht="15.6" x14ac:dyDescent="0.25">
      <c r="A143" s="235"/>
      <c r="B143" s="236" t="s">
        <v>123</v>
      </c>
      <c r="C143" s="237"/>
      <c r="D143" s="238"/>
      <c r="E143" s="239"/>
      <c r="F143" s="240"/>
    </row>
    <row r="144" spans="1:6" ht="15.6" x14ac:dyDescent="0.3">
      <c r="A144" s="248" t="s">
        <v>29</v>
      </c>
      <c r="B144" s="249" t="s">
        <v>30</v>
      </c>
      <c r="C144" s="250" t="s">
        <v>2</v>
      </c>
      <c r="D144" s="251" t="s">
        <v>1</v>
      </c>
      <c r="E144" s="252" t="s">
        <v>3</v>
      </c>
      <c r="F144" s="253" t="s">
        <v>31</v>
      </c>
    </row>
    <row r="145" spans="1:8" ht="15.6" x14ac:dyDescent="0.3">
      <c r="A145" s="254"/>
      <c r="B145" s="255"/>
      <c r="C145" s="256"/>
      <c r="D145" s="257"/>
      <c r="E145" s="258"/>
      <c r="F145" s="259"/>
    </row>
    <row r="146" spans="1:8" ht="15" x14ac:dyDescent="0.25">
      <c r="A146" s="260" t="s">
        <v>32</v>
      </c>
      <c r="B146" s="261" t="s">
        <v>115</v>
      </c>
      <c r="C146" s="262">
        <v>1</v>
      </c>
      <c r="D146" s="263" t="s">
        <v>6</v>
      </c>
      <c r="E146" s="262">
        <v>230</v>
      </c>
      <c r="F146" s="264">
        <f t="shared" ref="F146:F151" si="2">ROUND(E146*C146,2)</f>
        <v>230</v>
      </c>
      <c r="G146" s="603">
        <f>SUM(F146:F148)</f>
        <v>860</v>
      </c>
      <c r="H146" s="7">
        <v>860</v>
      </c>
    </row>
    <row r="147" spans="1:8" ht="15" x14ac:dyDescent="0.25">
      <c r="A147" s="260" t="s">
        <v>35</v>
      </c>
      <c r="B147" s="265" t="s">
        <v>116</v>
      </c>
      <c r="C147" s="262">
        <v>1</v>
      </c>
      <c r="D147" s="263" t="s">
        <v>6</v>
      </c>
      <c r="E147" s="262">
        <v>250</v>
      </c>
      <c r="F147" s="264">
        <f t="shared" si="2"/>
        <v>250</v>
      </c>
    </row>
    <row r="148" spans="1:8" ht="15" x14ac:dyDescent="0.25">
      <c r="A148" s="260" t="s">
        <v>38</v>
      </c>
      <c r="B148" s="265" t="s">
        <v>117</v>
      </c>
      <c r="C148" s="262">
        <v>1</v>
      </c>
      <c r="D148" s="263" t="s">
        <v>6</v>
      </c>
      <c r="E148" s="262">
        <v>380</v>
      </c>
      <c r="F148" s="264">
        <f t="shared" si="2"/>
        <v>380</v>
      </c>
    </row>
    <row r="149" spans="1:8" ht="15" x14ac:dyDescent="0.25">
      <c r="A149" s="266" t="s">
        <v>39</v>
      </c>
      <c r="B149" s="256" t="s">
        <v>84</v>
      </c>
      <c r="C149" s="262">
        <v>0.35</v>
      </c>
      <c r="D149" s="263" t="s">
        <v>6</v>
      </c>
      <c r="E149" s="267">
        <f>[26]ANALISISDECOSTO!G160</f>
        <v>3055.08</v>
      </c>
      <c r="F149" s="264">
        <f t="shared" si="2"/>
        <v>1069.28</v>
      </c>
    </row>
    <row r="150" spans="1:8" ht="15" x14ac:dyDescent="0.25">
      <c r="A150" s="260" t="s">
        <v>43</v>
      </c>
      <c r="B150" s="256" t="s">
        <v>7</v>
      </c>
      <c r="C150" s="268">
        <v>1</v>
      </c>
      <c r="D150" s="269" t="s">
        <v>6</v>
      </c>
      <c r="E150" s="268">
        <v>650</v>
      </c>
      <c r="F150" s="264">
        <f t="shared" si="2"/>
        <v>650</v>
      </c>
    </row>
    <row r="151" spans="1:8" ht="15" x14ac:dyDescent="0.25">
      <c r="A151" s="260" t="s">
        <v>45</v>
      </c>
      <c r="B151" s="256" t="s">
        <v>118</v>
      </c>
      <c r="C151" s="268">
        <v>1</v>
      </c>
      <c r="D151" s="269" t="s">
        <v>107</v>
      </c>
      <c r="E151" s="268">
        <v>200</v>
      </c>
      <c r="F151" s="264">
        <f t="shared" si="2"/>
        <v>200</v>
      </c>
    </row>
    <row r="152" spans="1:8" ht="15" x14ac:dyDescent="0.25">
      <c r="A152" s="266"/>
      <c r="B152" s="256"/>
      <c r="C152" s="268"/>
      <c r="D152" s="269"/>
      <c r="E152" s="268" t="s">
        <v>47</v>
      </c>
      <c r="F152" s="264">
        <f>SUM(F146:F151)</f>
        <v>2779.2799999999997</v>
      </c>
    </row>
    <row r="153" spans="1:8" ht="15.6" thickBot="1" x14ac:dyDescent="0.3">
      <c r="A153" s="266"/>
      <c r="B153" s="256" t="s">
        <v>4</v>
      </c>
      <c r="C153" s="268">
        <v>3</v>
      </c>
      <c r="D153" s="269" t="s">
        <v>6</v>
      </c>
      <c r="E153" s="268">
        <f>F152</f>
        <v>2779.2799999999997</v>
      </c>
      <c r="F153" s="264">
        <f>E153/C153</f>
        <v>926.42666666666662</v>
      </c>
    </row>
    <row r="154" spans="1:8" ht="16.8" thickTop="1" thickBot="1" x14ac:dyDescent="0.35">
      <c r="A154" s="242"/>
      <c r="B154" s="243" t="s">
        <v>69</v>
      </c>
      <c r="C154" s="244"/>
      <c r="D154" s="245"/>
      <c r="E154" s="246"/>
      <c r="F154" s="247">
        <f>F153</f>
        <v>926.42666666666662</v>
      </c>
    </row>
    <row r="155" spans="1:8" ht="13.8" thickTop="1" x14ac:dyDescent="0.25"/>
    <row r="156" spans="1:8" ht="15.6" x14ac:dyDescent="0.25">
      <c r="A156" s="235"/>
      <c r="B156" s="236" t="s">
        <v>119</v>
      </c>
      <c r="C156" s="237"/>
      <c r="D156" s="238"/>
      <c r="E156" s="239"/>
      <c r="F156" s="240"/>
    </row>
    <row r="157" spans="1:8" ht="15.6" x14ac:dyDescent="0.3">
      <c r="A157" s="100" t="s">
        <v>29</v>
      </c>
      <c r="B157" s="101" t="s">
        <v>30</v>
      </c>
      <c r="C157" s="102" t="s">
        <v>2</v>
      </c>
      <c r="D157" s="103" t="s">
        <v>1</v>
      </c>
      <c r="E157" s="104" t="s">
        <v>3</v>
      </c>
      <c r="F157" s="105" t="s">
        <v>31</v>
      </c>
    </row>
    <row r="158" spans="1:8" ht="15" x14ac:dyDescent="0.25">
      <c r="A158" s="14"/>
      <c r="B158" s="133" t="s">
        <v>23</v>
      </c>
      <c r="C158" s="16" t="s">
        <v>23</v>
      </c>
      <c r="D158" s="84"/>
      <c r="E158" s="18"/>
      <c r="F158" s="19"/>
    </row>
    <row r="159" spans="1:8" ht="15" x14ac:dyDescent="0.25">
      <c r="A159" s="14" t="s">
        <v>32</v>
      </c>
      <c r="B159" s="133" t="s">
        <v>91</v>
      </c>
      <c r="C159" s="16">
        <v>1.1000000000000001</v>
      </c>
      <c r="D159" s="84" t="s">
        <v>6</v>
      </c>
      <c r="E159" s="18">
        <f>F64</f>
        <v>4714.2</v>
      </c>
      <c r="F159" s="19">
        <f>ROUND(E159*C159,2)</f>
        <v>5185.62</v>
      </c>
    </row>
    <row r="160" spans="1:8" ht="15" x14ac:dyDescent="0.25">
      <c r="A160" s="14" t="s">
        <v>35</v>
      </c>
      <c r="B160" s="133" t="s">
        <v>16</v>
      </c>
      <c r="C160" s="16">
        <v>0.95</v>
      </c>
      <c r="D160" s="84" t="s">
        <v>92</v>
      </c>
      <c r="E160" s="18">
        <v>2350</v>
      </c>
      <c r="F160" s="19">
        <f>ROUND(C160*E160,2)</f>
        <v>2232.5</v>
      </c>
    </row>
    <row r="161" spans="1:6" ht="15" x14ac:dyDescent="0.25">
      <c r="A161" s="14" t="s">
        <v>38</v>
      </c>
      <c r="B161" s="133" t="s">
        <v>93</v>
      </c>
      <c r="C161" s="16">
        <f>C160*2</f>
        <v>1.9</v>
      </c>
      <c r="D161" s="84" t="s">
        <v>94</v>
      </c>
      <c r="E161" s="18">
        <v>40</v>
      </c>
      <c r="F161" s="19">
        <f>ROUND(C161*E161,2)</f>
        <v>76</v>
      </c>
    </row>
    <row r="162" spans="1:6" ht="15" x14ac:dyDescent="0.25">
      <c r="A162" s="14" t="s">
        <v>39</v>
      </c>
      <c r="B162" s="133" t="s">
        <v>95</v>
      </c>
      <c r="C162" s="16">
        <f>+C160</f>
        <v>0.95</v>
      </c>
      <c r="D162" s="84" t="s">
        <v>92</v>
      </c>
      <c r="E162" s="18">
        <v>250</v>
      </c>
      <c r="F162" s="19">
        <f>ROUND(C162*E162,2)</f>
        <v>237.5</v>
      </c>
    </row>
    <row r="163" spans="1:6" ht="15" x14ac:dyDescent="0.25">
      <c r="A163" s="14" t="s">
        <v>41</v>
      </c>
      <c r="B163" s="133" t="s">
        <v>96</v>
      </c>
      <c r="C163" s="16">
        <v>6.68</v>
      </c>
      <c r="D163" s="84" t="s">
        <v>5</v>
      </c>
      <c r="E163" s="18">
        <v>300</v>
      </c>
      <c r="F163" s="19">
        <f>ROUND(C163*E163,2)</f>
        <v>2004</v>
      </c>
    </row>
    <row r="164" spans="1:6" ht="15.6" thickBot="1" x14ac:dyDescent="0.3">
      <c r="A164" s="14"/>
      <c r="B164" s="133"/>
      <c r="C164" s="16"/>
      <c r="D164" s="84"/>
      <c r="E164" s="18"/>
      <c r="F164" s="19"/>
    </row>
    <row r="165" spans="1:6" ht="16.8" thickTop="1" thickBot="1" x14ac:dyDescent="0.35">
      <c r="A165" s="32"/>
      <c r="B165" s="33" t="s">
        <v>69</v>
      </c>
      <c r="C165" s="34"/>
      <c r="D165" s="35"/>
      <c r="E165" s="36"/>
      <c r="F165" s="37">
        <f>SUM(F159:F164)</f>
        <v>9735.619999999999</v>
      </c>
    </row>
    <row r="166" spans="1:6" ht="13.8" thickTop="1" x14ac:dyDescent="0.25"/>
    <row r="167" spans="1:6" ht="15.6" x14ac:dyDescent="0.25">
      <c r="A167" s="235">
        <v>15</v>
      </c>
      <c r="B167" s="236" t="s">
        <v>120</v>
      </c>
      <c r="C167" s="237"/>
      <c r="D167" s="238"/>
      <c r="E167" s="239"/>
      <c r="F167" s="240"/>
    </row>
    <row r="168" spans="1:6" ht="15.6" x14ac:dyDescent="0.3">
      <c r="A168" s="170" t="s">
        <v>29</v>
      </c>
      <c r="B168" s="171" t="s">
        <v>30</v>
      </c>
      <c r="C168" s="172" t="s">
        <v>2</v>
      </c>
      <c r="D168" s="173" t="s">
        <v>1</v>
      </c>
      <c r="E168" s="174" t="s">
        <v>3</v>
      </c>
      <c r="F168" s="175" t="s">
        <v>31</v>
      </c>
    </row>
    <row r="169" spans="1:6" ht="15" x14ac:dyDescent="0.25">
      <c r="A169" s="150" t="s">
        <v>32</v>
      </c>
      <c r="B169" s="218" t="s">
        <v>103</v>
      </c>
      <c r="C169" s="147">
        <v>1</v>
      </c>
      <c r="D169" s="148" t="s">
        <v>27</v>
      </c>
      <c r="E169" s="147">
        <v>10</v>
      </c>
      <c r="F169" s="149">
        <f>ROUND(E169*C169,2)</f>
        <v>10</v>
      </c>
    </row>
    <row r="170" spans="1:6" ht="15" x14ac:dyDescent="0.25">
      <c r="A170" s="150" t="s">
        <v>35</v>
      </c>
      <c r="B170" s="220" t="s">
        <v>121</v>
      </c>
      <c r="C170" s="147">
        <v>0.1</v>
      </c>
      <c r="D170" s="148" t="s">
        <v>26</v>
      </c>
      <c r="E170" s="147">
        <f>F74</f>
        <v>4520.28</v>
      </c>
      <c r="F170" s="149">
        <f>ROUND(E170*C170,2)</f>
        <v>452.03</v>
      </c>
    </row>
    <row r="171" spans="1:6" ht="15" x14ac:dyDescent="0.25">
      <c r="A171" s="150" t="s">
        <v>38</v>
      </c>
      <c r="B171" s="151" t="s">
        <v>84</v>
      </c>
      <c r="C171" s="147">
        <v>0.02</v>
      </c>
      <c r="D171" s="148" t="s">
        <v>26</v>
      </c>
      <c r="E171" s="147">
        <f>F104</f>
        <v>4789.0290000000005</v>
      </c>
      <c r="F171" s="149">
        <f>C171*E171</f>
        <v>95.780580000000015</v>
      </c>
    </row>
    <row r="172" spans="1:6" ht="15" x14ac:dyDescent="0.25">
      <c r="A172" s="152" t="s">
        <v>39</v>
      </c>
      <c r="B172" s="176" t="s">
        <v>104</v>
      </c>
      <c r="C172" s="147">
        <v>0.08</v>
      </c>
      <c r="D172" s="148" t="s">
        <v>105</v>
      </c>
      <c r="E172" s="147">
        <v>70</v>
      </c>
      <c r="F172" s="149">
        <f>ROUND(E172*C172,2)</f>
        <v>5.6</v>
      </c>
    </row>
    <row r="173" spans="1:6" ht="15" x14ac:dyDescent="0.25">
      <c r="A173" s="150" t="s">
        <v>41</v>
      </c>
      <c r="B173" s="176" t="s">
        <v>106</v>
      </c>
      <c r="C173" s="147">
        <v>1</v>
      </c>
      <c r="D173" s="148" t="s">
        <v>27</v>
      </c>
      <c r="E173" s="147">
        <v>160</v>
      </c>
      <c r="F173" s="149">
        <f>ROUND(E173*C173,2)</f>
        <v>160</v>
      </c>
    </row>
    <row r="174" spans="1:6" ht="16.2" thickBot="1" x14ac:dyDescent="0.35">
      <c r="A174" s="153"/>
      <c r="B174" s="154"/>
      <c r="C174" s="155"/>
      <c r="D174" s="156"/>
      <c r="E174" s="157"/>
      <c r="F174" s="158"/>
    </row>
    <row r="175" spans="1:6" ht="16.8" thickTop="1" thickBot="1" x14ac:dyDescent="0.35">
      <c r="A175" s="159"/>
      <c r="B175" s="160" t="s">
        <v>100</v>
      </c>
      <c r="C175" s="161"/>
      <c r="D175" s="162"/>
      <c r="E175" s="161"/>
      <c r="F175" s="163">
        <f>SUM(F169:F174)</f>
        <v>723.41057999999998</v>
      </c>
    </row>
    <row r="176" spans="1:6" ht="13.8" thickTop="1" x14ac:dyDescent="0.25"/>
    <row r="177" spans="1:6" ht="15.6" x14ac:dyDescent="0.25">
      <c r="A177" s="235">
        <v>20</v>
      </c>
      <c r="B177" s="236" t="s">
        <v>122</v>
      </c>
      <c r="C177" s="237"/>
      <c r="D177" s="238"/>
      <c r="E177" s="239"/>
      <c r="F177" s="240"/>
    </row>
    <row r="178" spans="1:6" ht="15.6" x14ac:dyDescent="0.3">
      <c r="A178" s="139" t="s">
        <v>29</v>
      </c>
      <c r="B178" s="140" t="s">
        <v>30</v>
      </c>
      <c r="C178" s="141" t="s">
        <v>2</v>
      </c>
      <c r="D178" s="142" t="s">
        <v>1</v>
      </c>
      <c r="E178" s="143" t="s">
        <v>3</v>
      </c>
      <c r="F178" s="144" t="s">
        <v>31</v>
      </c>
    </row>
    <row r="179" spans="1:6" ht="15.6" x14ac:dyDescent="0.25">
      <c r="A179" s="145"/>
      <c r="B179" s="146"/>
      <c r="C179" s="147"/>
      <c r="D179" s="148"/>
      <c r="E179" s="147"/>
      <c r="F179" s="149"/>
    </row>
    <row r="180" spans="1:6" ht="15" x14ac:dyDescent="0.25">
      <c r="A180" s="150" t="s">
        <v>32</v>
      </c>
      <c r="B180" s="220" t="s">
        <v>102</v>
      </c>
      <c r="C180" s="147">
        <v>0.12</v>
      </c>
      <c r="D180" s="148" t="s">
        <v>26</v>
      </c>
      <c r="E180" s="147">
        <f>E170</f>
        <v>4520.28</v>
      </c>
      <c r="F180" s="149">
        <f>ROUND(E180*C180,2)</f>
        <v>542.42999999999995</v>
      </c>
    </row>
    <row r="181" spans="1:6" ht="15" x14ac:dyDescent="0.25">
      <c r="A181" s="150" t="s">
        <v>35</v>
      </c>
      <c r="B181" s="176" t="s">
        <v>124</v>
      </c>
      <c r="C181" s="147">
        <v>1</v>
      </c>
      <c r="D181" s="148" t="s">
        <v>18</v>
      </c>
      <c r="E181" s="147">
        <v>45</v>
      </c>
      <c r="F181" s="149">
        <f>ROUND(E181*C181,2)</f>
        <v>45</v>
      </c>
    </row>
    <row r="182" spans="1:6" ht="15" x14ac:dyDescent="0.25">
      <c r="A182" s="150" t="s">
        <v>38</v>
      </c>
      <c r="B182" s="176" t="s">
        <v>7</v>
      </c>
      <c r="C182" s="147">
        <v>1</v>
      </c>
      <c r="D182" s="148" t="s">
        <v>18</v>
      </c>
      <c r="E182" s="147">
        <v>175</v>
      </c>
      <c r="F182" s="149">
        <f>E182*C182</f>
        <v>175</v>
      </c>
    </row>
    <row r="183" spans="1:6" ht="16.2" thickBot="1" x14ac:dyDescent="0.35">
      <c r="A183" s="153"/>
      <c r="B183" s="154"/>
      <c r="C183" s="155"/>
      <c r="D183" s="156"/>
      <c r="E183" s="157"/>
      <c r="F183" s="158"/>
    </row>
    <row r="184" spans="1:6" ht="16.8" thickTop="1" thickBot="1" x14ac:dyDescent="0.35">
      <c r="A184" s="159"/>
      <c r="B184" s="160" t="s">
        <v>101</v>
      </c>
      <c r="C184" s="161"/>
      <c r="D184" s="162"/>
      <c r="E184" s="161"/>
      <c r="F184" s="163">
        <f>SUM(F180:F183)</f>
        <v>762.43</v>
      </c>
    </row>
    <row r="185" spans="1:6" ht="13.8" thickTop="1" x14ac:dyDescent="0.25"/>
    <row r="186" spans="1:6" ht="15.6" x14ac:dyDescent="0.25">
      <c r="A186" s="411">
        <v>22</v>
      </c>
      <c r="B186" s="412" t="s">
        <v>628</v>
      </c>
      <c r="C186" s="413"/>
      <c r="D186" s="414"/>
      <c r="E186" s="413"/>
      <c r="F186" s="415"/>
    </row>
    <row r="187" spans="1:6" ht="15.6" x14ac:dyDescent="0.3">
      <c r="A187" s="139" t="s">
        <v>29</v>
      </c>
      <c r="B187" s="140" t="s">
        <v>30</v>
      </c>
      <c r="C187" s="141" t="s">
        <v>2</v>
      </c>
      <c r="D187" s="142" t="s">
        <v>1</v>
      </c>
      <c r="E187" s="143" t="s">
        <v>3</v>
      </c>
      <c r="F187" s="144" t="s">
        <v>31</v>
      </c>
    </row>
    <row r="188" spans="1:6" ht="15.6" x14ac:dyDescent="0.25">
      <c r="A188" s="145"/>
      <c r="B188" s="146"/>
      <c r="C188" s="147"/>
      <c r="D188" s="148"/>
      <c r="E188" s="147"/>
      <c r="F188" s="149"/>
    </row>
    <row r="189" spans="1:6" ht="15" x14ac:dyDescent="0.25">
      <c r="A189" s="150" t="s">
        <v>32</v>
      </c>
      <c r="B189" s="416" t="s">
        <v>488</v>
      </c>
      <c r="C189" s="147">
        <v>1.05</v>
      </c>
      <c r="D189" s="148" t="s">
        <v>26</v>
      </c>
      <c r="E189" s="147">
        <f>F74</f>
        <v>4520.28</v>
      </c>
      <c r="F189" s="149">
        <f>ROUND(E189*C189,2)</f>
        <v>4746.29</v>
      </c>
    </row>
    <row r="190" spans="1:6" ht="15" x14ac:dyDescent="0.25">
      <c r="A190" s="150" t="s">
        <v>38</v>
      </c>
      <c r="B190" s="176" t="s">
        <v>489</v>
      </c>
      <c r="C190" s="147">
        <v>40</v>
      </c>
      <c r="D190" s="148" t="s">
        <v>27</v>
      </c>
      <c r="E190" s="147">
        <v>20</v>
      </c>
      <c r="F190" s="149">
        <f>ROUND(E190*C190,2)</f>
        <v>800</v>
      </c>
    </row>
    <row r="191" spans="1:6" ht="15.6" thickBot="1" x14ac:dyDescent="0.3">
      <c r="A191" s="152"/>
      <c r="B191" s="366"/>
      <c r="C191" s="147"/>
      <c r="D191" s="417"/>
      <c r="E191" s="147"/>
      <c r="F191" s="149"/>
    </row>
    <row r="192" spans="1:6" ht="16.8" thickTop="1" thickBot="1" x14ac:dyDescent="0.35">
      <c r="A192" s="159"/>
      <c r="B192" s="160" t="s">
        <v>69</v>
      </c>
      <c r="C192" s="161"/>
      <c r="D192" s="162"/>
      <c r="E192" s="161"/>
      <c r="F192" s="163">
        <f>SUM(F189:F191)</f>
        <v>5546.29</v>
      </c>
    </row>
    <row r="193" spans="1:8" ht="13.8" thickTop="1" x14ac:dyDescent="0.25"/>
    <row r="194" spans="1:8" ht="15.6" x14ac:dyDescent="0.25">
      <c r="A194" s="235"/>
      <c r="B194" s="891" t="s">
        <v>568</v>
      </c>
      <c r="C194" s="892"/>
      <c r="D194" s="892"/>
      <c r="E194" s="892"/>
      <c r="F194" s="893"/>
    </row>
    <row r="195" spans="1:8" ht="15.6" x14ac:dyDescent="0.25">
      <c r="A195" s="145"/>
      <c r="B195" s="176" t="s">
        <v>248</v>
      </c>
      <c r="C195" s="147">
        <v>450</v>
      </c>
      <c r="D195" s="148" t="s">
        <v>168</v>
      </c>
      <c r="E195" s="147">
        <v>10</v>
      </c>
      <c r="F195" s="149">
        <f>ROUND(E195*C195,2)</f>
        <v>4500</v>
      </c>
    </row>
    <row r="196" spans="1:8" ht="15" x14ac:dyDescent="0.25">
      <c r="A196" s="150"/>
      <c r="B196" s="220" t="s">
        <v>345</v>
      </c>
      <c r="C196" s="147">
        <v>49</v>
      </c>
      <c r="D196" s="148" t="s">
        <v>346</v>
      </c>
      <c r="E196" s="147">
        <v>140</v>
      </c>
      <c r="F196" s="149">
        <f t="shared" ref="F196:F202" si="3">ROUND(E196*C196,2)</f>
        <v>6860</v>
      </c>
    </row>
    <row r="197" spans="1:8" ht="15" x14ac:dyDescent="0.25">
      <c r="A197" s="150"/>
      <c r="B197" s="176" t="s">
        <v>347</v>
      </c>
      <c r="C197" s="147">
        <v>12</v>
      </c>
      <c r="D197" s="148" t="s">
        <v>154</v>
      </c>
      <c r="E197" s="147">
        <v>80</v>
      </c>
      <c r="F197" s="149">
        <f t="shared" si="3"/>
        <v>960</v>
      </c>
    </row>
    <row r="198" spans="1:8" ht="15" x14ac:dyDescent="0.25">
      <c r="A198" s="150"/>
      <c r="B198" s="734" t="s">
        <v>348</v>
      </c>
      <c r="C198" s="147">
        <f>15*30*0.15</f>
        <v>67.5</v>
      </c>
      <c r="D198" s="148" t="s">
        <v>173</v>
      </c>
      <c r="E198" s="147">
        <v>6600</v>
      </c>
      <c r="F198" s="149">
        <f t="shared" si="3"/>
        <v>445500</v>
      </c>
    </row>
    <row r="199" spans="1:8" ht="15" x14ac:dyDescent="0.25">
      <c r="A199" s="152"/>
      <c r="B199" s="604" t="s">
        <v>250</v>
      </c>
      <c r="C199" s="147">
        <f>+C195</f>
        <v>450</v>
      </c>
      <c r="D199" s="148" t="s">
        <v>168</v>
      </c>
      <c r="E199" s="147">
        <v>200</v>
      </c>
      <c r="F199" s="149">
        <f t="shared" si="3"/>
        <v>90000</v>
      </c>
    </row>
    <row r="200" spans="1:8" ht="15" x14ac:dyDescent="0.25">
      <c r="A200" s="150"/>
      <c r="B200" s="176" t="s">
        <v>349</v>
      </c>
      <c r="C200" s="147">
        <v>450</v>
      </c>
      <c r="D200" s="148" t="s">
        <v>168</v>
      </c>
      <c r="E200" s="147">
        <v>120</v>
      </c>
      <c r="F200" s="149">
        <f t="shared" si="3"/>
        <v>54000</v>
      </c>
      <c r="H200" s="7">
        <f>E202/C195</f>
        <v>1348.0444444444445</v>
      </c>
    </row>
    <row r="201" spans="1:8" ht="15" x14ac:dyDescent="0.25">
      <c r="A201" s="150"/>
      <c r="B201" s="176" t="s">
        <v>350</v>
      </c>
      <c r="C201" s="147">
        <v>60</v>
      </c>
      <c r="D201" s="148" t="s">
        <v>159</v>
      </c>
      <c r="E201" s="147">
        <v>80</v>
      </c>
      <c r="F201" s="149">
        <f t="shared" si="3"/>
        <v>4800</v>
      </c>
    </row>
    <row r="202" spans="1:8" ht="15" x14ac:dyDescent="0.25">
      <c r="A202" s="150"/>
      <c r="B202" s="176" t="s">
        <v>255</v>
      </c>
      <c r="C202" s="147">
        <v>0.05</v>
      </c>
      <c r="D202" s="148" t="s">
        <v>157</v>
      </c>
      <c r="E202" s="147">
        <f>SUM(F195:F201)</f>
        <v>606620</v>
      </c>
      <c r="F202" s="149">
        <f t="shared" si="3"/>
        <v>30331</v>
      </c>
    </row>
    <row r="203" spans="1:8" ht="13.8" thickBot="1" x14ac:dyDescent="0.3"/>
    <row r="204" spans="1:8" ht="16.8" thickTop="1" thickBot="1" x14ac:dyDescent="0.35">
      <c r="A204" s="159"/>
      <c r="B204" s="160" t="s">
        <v>567</v>
      </c>
      <c r="C204" s="161"/>
      <c r="D204" s="162"/>
      <c r="E204" s="161"/>
      <c r="F204" s="163">
        <f>SUM(F195:F203)/C195</f>
        <v>1415.4466666666667</v>
      </c>
    </row>
    <row r="205" spans="1:8" ht="13.8" thickTop="1" x14ac:dyDescent="0.25"/>
    <row r="206" spans="1:8" ht="15.6" x14ac:dyDescent="0.25">
      <c r="A206" s="411">
        <v>22</v>
      </c>
      <c r="B206" s="412" t="s">
        <v>571</v>
      </c>
      <c r="C206" s="413"/>
      <c r="D206" s="414"/>
      <c r="E206" s="413"/>
      <c r="F206" s="415"/>
    </row>
    <row r="207" spans="1:8" ht="15.6" x14ac:dyDescent="0.3">
      <c r="A207" s="139" t="s">
        <v>29</v>
      </c>
      <c r="B207" s="140" t="s">
        <v>30</v>
      </c>
      <c r="C207" s="141" t="s">
        <v>2</v>
      </c>
      <c r="D207" s="142" t="s">
        <v>1</v>
      </c>
      <c r="E207" s="143" t="s">
        <v>3</v>
      </c>
      <c r="F207" s="144" t="s">
        <v>31</v>
      </c>
    </row>
    <row r="208" spans="1:8" ht="15.6" x14ac:dyDescent="0.25">
      <c r="A208" s="145"/>
      <c r="B208" s="146"/>
      <c r="C208" s="147"/>
      <c r="D208" s="148"/>
      <c r="E208" s="147"/>
      <c r="F208" s="149"/>
    </row>
    <row r="209" spans="1:9" ht="15" x14ac:dyDescent="0.25">
      <c r="A209" s="150" t="s">
        <v>32</v>
      </c>
      <c r="B209" s="416" t="s">
        <v>488</v>
      </c>
      <c r="C209" s="147">
        <v>0.02</v>
      </c>
      <c r="D209" s="148" t="s">
        <v>26</v>
      </c>
      <c r="E209" s="147">
        <f>F94</f>
        <v>4733</v>
      </c>
      <c r="F209" s="149">
        <f>ROUND(E209*C209,2)</f>
        <v>94.66</v>
      </c>
      <c r="I209" s="7">
        <f>1/0.03</f>
        <v>33.333333333333336</v>
      </c>
    </row>
    <row r="210" spans="1:9" ht="15" x14ac:dyDescent="0.25">
      <c r="A210" s="150" t="s">
        <v>35</v>
      </c>
      <c r="B210" s="220" t="s">
        <v>570</v>
      </c>
      <c r="C210" s="147">
        <v>1</v>
      </c>
      <c r="D210" s="148" t="s">
        <v>27</v>
      </c>
      <c r="E210" s="147">
        <v>680</v>
      </c>
      <c r="F210" s="149">
        <f>ROUND(E210*C210,2)</f>
        <v>680</v>
      </c>
    </row>
    <row r="211" spans="1:9" ht="15" x14ac:dyDescent="0.25">
      <c r="A211" s="150" t="s">
        <v>38</v>
      </c>
      <c r="B211" s="176" t="s">
        <v>569</v>
      </c>
      <c r="C211" s="147">
        <v>1</v>
      </c>
      <c r="D211" s="148" t="s">
        <v>27</v>
      </c>
      <c r="E211" s="147">
        <v>180</v>
      </c>
      <c r="F211" s="149">
        <f>ROUND(E211*C211,2)</f>
        <v>180</v>
      </c>
    </row>
    <row r="212" spans="1:9" ht="15.6" thickBot="1" x14ac:dyDescent="0.3">
      <c r="A212" s="152"/>
      <c r="B212" s="366"/>
      <c r="C212" s="147"/>
      <c r="D212" s="417"/>
      <c r="E212" s="147"/>
      <c r="F212" s="149"/>
    </row>
    <row r="213" spans="1:9" ht="16.8" thickTop="1" thickBot="1" x14ac:dyDescent="0.35">
      <c r="A213" s="159"/>
      <c r="B213" s="160" t="s">
        <v>100</v>
      </c>
      <c r="C213" s="161"/>
      <c r="D213" s="162"/>
      <c r="E213" s="161"/>
      <c r="F213" s="163">
        <f>SUM(F209:F212)</f>
        <v>954.66</v>
      </c>
    </row>
    <row r="214" spans="1:9" ht="13.8" thickTop="1" x14ac:dyDescent="0.25"/>
    <row r="215" spans="1:9" ht="15.6" x14ac:dyDescent="0.25">
      <c r="A215" s="411">
        <v>22</v>
      </c>
      <c r="B215" s="412" t="s">
        <v>629</v>
      </c>
      <c r="C215" s="413"/>
      <c r="D215" s="414"/>
      <c r="E215" s="413"/>
      <c r="F215" s="415"/>
    </row>
    <row r="216" spans="1:9" ht="15.6" x14ac:dyDescent="0.3">
      <c r="A216" s="139" t="s">
        <v>29</v>
      </c>
      <c r="B216" s="140" t="s">
        <v>30</v>
      </c>
      <c r="C216" s="141" t="s">
        <v>2</v>
      </c>
      <c r="D216" s="142" t="s">
        <v>1</v>
      </c>
      <c r="E216" s="143" t="s">
        <v>3</v>
      </c>
      <c r="F216" s="144" t="s">
        <v>31</v>
      </c>
    </row>
    <row r="217" spans="1:9" ht="15.6" x14ac:dyDescent="0.25">
      <c r="A217" s="145"/>
      <c r="B217" s="146"/>
      <c r="C217" s="147"/>
      <c r="D217" s="148"/>
      <c r="E217" s="147"/>
      <c r="F217" s="149"/>
    </row>
    <row r="218" spans="1:9" ht="15" x14ac:dyDescent="0.25">
      <c r="A218" s="150" t="s">
        <v>32</v>
      </c>
      <c r="B218" s="220" t="s">
        <v>517</v>
      </c>
      <c r="C218" s="147">
        <v>0.01</v>
      </c>
      <c r="D218" s="148" t="s">
        <v>26</v>
      </c>
      <c r="E218" s="147">
        <f>F114</f>
        <v>5899.43</v>
      </c>
      <c r="F218" s="149">
        <f>ROUND(E218*C218,2)</f>
        <v>58.99</v>
      </c>
    </row>
    <row r="219" spans="1:9" ht="15" x14ac:dyDescent="0.25">
      <c r="A219" s="150" t="s">
        <v>38</v>
      </c>
      <c r="B219" s="176" t="s">
        <v>573</v>
      </c>
      <c r="C219" s="147">
        <v>1</v>
      </c>
      <c r="D219" s="148" t="s">
        <v>27</v>
      </c>
      <c r="E219" s="147">
        <v>90</v>
      </c>
      <c r="F219" s="149">
        <f>ROUND(E219*C219,2)</f>
        <v>90</v>
      </c>
    </row>
    <row r="220" spans="1:9" ht="15.6" thickBot="1" x14ac:dyDescent="0.3">
      <c r="A220" s="152"/>
      <c r="B220" s="366"/>
      <c r="C220" s="147"/>
      <c r="D220" s="417"/>
      <c r="E220" s="147"/>
      <c r="F220" s="149"/>
    </row>
    <row r="221" spans="1:9" ht="16.8" thickTop="1" thickBot="1" x14ac:dyDescent="0.35">
      <c r="A221" s="159"/>
      <c r="B221" s="160" t="s">
        <v>100</v>
      </c>
      <c r="C221" s="161"/>
      <c r="D221" s="162"/>
      <c r="E221" s="161"/>
      <c r="F221" s="163">
        <f>SUM(F218:F220)</f>
        <v>148.99</v>
      </c>
    </row>
    <row r="222" spans="1:9" ht="13.8" thickTop="1" x14ac:dyDescent="0.25"/>
    <row r="223" spans="1:9" ht="15.6" x14ac:dyDescent="0.25">
      <c r="A223" s="411">
        <v>22</v>
      </c>
      <c r="B223" s="412" t="s">
        <v>572</v>
      </c>
      <c r="C223" s="413"/>
      <c r="D223" s="414"/>
      <c r="E223" s="413"/>
      <c r="F223" s="415"/>
    </row>
    <row r="224" spans="1:9" ht="15.6" x14ac:dyDescent="0.3">
      <c r="A224" s="139" t="s">
        <v>29</v>
      </c>
      <c r="B224" s="140" t="s">
        <v>30</v>
      </c>
      <c r="C224" s="141" t="s">
        <v>2</v>
      </c>
      <c r="D224" s="142" t="s">
        <v>1</v>
      </c>
      <c r="E224" s="143" t="s">
        <v>3</v>
      </c>
      <c r="F224" s="144" t="s">
        <v>31</v>
      </c>
    </row>
    <row r="225" spans="1:6" ht="15.6" x14ac:dyDescent="0.25">
      <c r="A225" s="145"/>
      <c r="B225" s="146"/>
      <c r="C225" s="147"/>
      <c r="D225" s="148"/>
      <c r="E225" s="147"/>
      <c r="F225" s="149"/>
    </row>
    <row r="226" spans="1:6" ht="15" x14ac:dyDescent="0.25">
      <c r="A226" s="150" t="s">
        <v>32</v>
      </c>
      <c r="B226" s="220" t="s">
        <v>517</v>
      </c>
      <c r="C226" s="147">
        <v>1.4999999999999999E-2</v>
      </c>
      <c r="D226" s="148" t="s">
        <v>26</v>
      </c>
      <c r="E226" s="147">
        <f>E218</f>
        <v>5899.43</v>
      </c>
      <c r="F226" s="149">
        <f>ROUND(E226*C226,2)</f>
        <v>88.49</v>
      </c>
    </row>
    <row r="227" spans="1:6" ht="15" x14ac:dyDescent="0.25">
      <c r="A227" s="150" t="s">
        <v>35</v>
      </c>
      <c r="B227" s="176" t="s">
        <v>573</v>
      </c>
      <c r="C227" s="147">
        <v>1</v>
      </c>
      <c r="D227" s="148" t="s">
        <v>18</v>
      </c>
      <c r="E227" s="147">
        <v>90</v>
      </c>
      <c r="F227" s="149">
        <f>ROUND(E227*C227,2)</f>
        <v>90</v>
      </c>
    </row>
    <row r="228" spans="1:6" ht="15.6" thickBot="1" x14ac:dyDescent="0.3">
      <c r="A228" s="152"/>
      <c r="B228" s="366"/>
      <c r="C228" s="147"/>
      <c r="D228" s="417"/>
      <c r="E228" s="147"/>
      <c r="F228" s="149"/>
    </row>
    <row r="229" spans="1:6" ht="16.8" thickTop="1" thickBot="1" x14ac:dyDescent="0.35">
      <c r="A229" s="159"/>
      <c r="B229" s="160" t="s">
        <v>101</v>
      </c>
      <c r="C229" s="161"/>
      <c r="D229" s="162"/>
      <c r="E229" s="161"/>
      <c r="F229" s="163">
        <f>SUM(F226:F228)</f>
        <v>178.49</v>
      </c>
    </row>
    <row r="230" spans="1:6" ht="13.8" thickTop="1" x14ac:dyDescent="0.25"/>
    <row r="231" spans="1:6" ht="16.2" thickBot="1" x14ac:dyDescent="0.35">
      <c r="A231" s="177">
        <v>19</v>
      </c>
      <c r="B231" s="178" t="s">
        <v>638</v>
      </c>
      <c r="C231" s="179"/>
      <c r="D231" s="180"/>
      <c r="E231" s="181"/>
      <c r="F231" s="182"/>
    </row>
    <row r="232" spans="1:6" ht="16.2" thickTop="1" x14ac:dyDescent="0.3">
      <c r="A232" s="183" t="s">
        <v>29</v>
      </c>
      <c r="B232" s="184" t="s">
        <v>30</v>
      </c>
      <c r="C232" s="185" t="s">
        <v>2</v>
      </c>
      <c r="D232" s="186" t="s">
        <v>1</v>
      </c>
      <c r="E232" s="187" t="s">
        <v>3</v>
      </c>
      <c r="F232" s="188" t="s">
        <v>31</v>
      </c>
    </row>
    <row r="233" spans="1:6" ht="15" x14ac:dyDescent="0.25">
      <c r="A233" s="189" t="s">
        <v>32</v>
      </c>
      <c r="B233" s="176" t="s">
        <v>257</v>
      </c>
      <c r="C233" s="191">
        <v>1.1000000000000001</v>
      </c>
      <c r="D233" s="192" t="s">
        <v>75</v>
      </c>
      <c r="E233" s="191">
        <f>F74</f>
        <v>4520.28</v>
      </c>
      <c r="F233" s="193">
        <f>+E233*C233</f>
        <v>4972.308</v>
      </c>
    </row>
    <row r="234" spans="1:6" ht="15" x14ac:dyDescent="0.25">
      <c r="A234" s="189" t="s">
        <v>35</v>
      </c>
      <c r="B234" s="194" t="s">
        <v>16</v>
      </c>
      <c r="C234" s="191">
        <v>0.74</v>
      </c>
      <c r="D234" s="195" t="s">
        <v>17</v>
      </c>
      <c r="E234" s="191">
        <f>E137</f>
        <v>1850</v>
      </c>
      <c r="F234" s="193">
        <f>+E234*C234</f>
        <v>1369</v>
      </c>
    </row>
    <row r="235" spans="1:6" ht="15" x14ac:dyDescent="0.25">
      <c r="A235" s="189" t="s">
        <v>38</v>
      </c>
      <c r="B235" s="194" t="s">
        <v>97</v>
      </c>
      <c r="C235" s="191">
        <f>C234*2</f>
        <v>1.48</v>
      </c>
      <c r="D235" s="195" t="s">
        <v>98</v>
      </c>
      <c r="E235" s="191">
        <v>40</v>
      </c>
      <c r="F235" s="193">
        <f>+E235*C235</f>
        <v>59.2</v>
      </c>
    </row>
    <row r="236" spans="1:6" ht="15" x14ac:dyDescent="0.25">
      <c r="A236" s="196" t="s">
        <v>39</v>
      </c>
      <c r="B236" s="194" t="s">
        <v>99</v>
      </c>
      <c r="C236" s="191">
        <f>C234</f>
        <v>0.74</v>
      </c>
      <c r="D236" s="195" t="s">
        <v>17</v>
      </c>
      <c r="E236" s="191">
        <v>200</v>
      </c>
      <c r="F236" s="193">
        <f>+E236*C236</f>
        <v>148</v>
      </c>
    </row>
    <row r="237" spans="1:6" ht="15.6" thickBot="1" x14ac:dyDescent="0.3">
      <c r="A237" s="197"/>
      <c r="B237" s="198"/>
      <c r="C237" s="199"/>
      <c r="D237" s="200"/>
      <c r="E237" s="199"/>
      <c r="F237" s="201"/>
    </row>
    <row r="238" spans="1:6" ht="16.8" thickTop="1" thickBot="1" x14ac:dyDescent="0.35">
      <c r="A238" s="202"/>
      <c r="B238" s="203" t="s">
        <v>69</v>
      </c>
      <c r="C238" s="204"/>
      <c r="D238" s="205"/>
      <c r="E238" s="204"/>
      <c r="F238" s="206">
        <f>SUM(F233:F237)</f>
        <v>6548.5079999999998</v>
      </c>
    </row>
    <row r="239" spans="1:6" ht="13.8" thickTop="1" x14ac:dyDescent="0.25"/>
    <row r="240" spans="1:6" ht="16.2" thickBot="1" x14ac:dyDescent="0.35">
      <c r="A240" s="475">
        <v>28</v>
      </c>
      <c r="B240" s="81" t="s">
        <v>630</v>
      </c>
      <c r="C240" s="476"/>
      <c r="D240" s="477"/>
      <c r="E240" s="478"/>
      <c r="F240" s="478"/>
    </row>
    <row r="241" spans="1:6" ht="16.2" thickTop="1" x14ac:dyDescent="0.3">
      <c r="A241" s="100" t="s">
        <v>29</v>
      </c>
      <c r="B241" s="101" t="s">
        <v>30</v>
      </c>
      <c r="C241" s="102" t="s">
        <v>2</v>
      </c>
      <c r="D241" s="103" t="s">
        <v>1</v>
      </c>
      <c r="E241" s="104" t="s">
        <v>3</v>
      </c>
      <c r="F241" s="105" t="s">
        <v>31</v>
      </c>
    </row>
    <row r="242" spans="1:6" ht="15" x14ac:dyDescent="0.25">
      <c r="A242" s="14" t="s">
        <v>32</v>
      </c>
      <c r="B242" s="341" t="s">
        <v>639</v>
      </c>
      <c r="C242" s="16">
        <v>1.1000000000000001</v>
      </c>
      <c r="D242" s="84" t="s">
        <v>75</v>
      </c>
      <c r="E242" s="18">
        <f>E233</f>
        <v>4520.28</v>
      </c>
      <c r="F242" s="19">
        <f>ROUND(E242*C242,2)</f>
        <v>4972.3100000000004</v>
      </c>
    </row>
    <row r="243" spans="1:6" ht="15" x14ac:dyDescent="0.25">
      <c r="A243" s="14" t="s">
        <v>35</v>
      </c>
      <c r="B243" s="15" t="s">
        <v>16</v>
      </c>
      <c r="C243" s="16">
        <v>3.16</v>
      </c>
      <c r="D243" s="17" t="s">
        <v>17</v>
      </c>
      <c r="E243" s="18">
        <v>1850</v>
      </c>
      <c r="F243" s="19">
        <f>ROUND(E243*C243,2)</f>
        <v>5846</v>
      </c>
    </row>
    <row r="244" spans="1:6" ht="15" x14ac:dyDescent="0.25">
      <c r="A244" s="14" t="s">
        <v>38</v>
      </c>
      <c r="B244" s="15" t="s">
        <v>97</v>
      </c>
      <c r="C244" s="16">
        <f>+C243*2</f>
        <v>6.32</v>
      </c>
      <c r="D244" s="17" t="s">
        <v>98</v>
      </c>
      <c r="E244" s="18">
        <v>40</v>
      </c>
      <c r="F244" s="19">
        <f>ROUND(E244*C244,2)</f>
        <v>252.8</v>
      </c>
    </row>
    <row r="245" spans="1:6" ht="30" x14ac:dyDescent="0.25">
      <c r="A245" s="85" t="s">
        <v>39</v>
      </c>
      <c r="B245" s="341" t="s">
        <v>498</v>
      </c>
      <c r="C245" s="16">
        <v>33.33</v>
      </c>
      <c r="D245" s="84" t="s">
        <v>18</v>
      </c>
      <c r="E245" s="18">
        <v>200</v>
      </c>
      <c r="F245" s="19">
        <f>ROUND(E245*C245,2)</f>
        <v>6666</v>
      </c>
    </row>
    <row r="246" spans="1:6" ht="15" x14ac:dyDescent="0.25">
      <c r="A246" s="85" t="s">
        <v>41</v>
      </c>
      <c r="B246" s="341" t="s">
        <v>499</v>
      </c>
      <c r="C246" s="16">
        <f>C243</f>
        <v>3.16</v>
      </c>
      <c r="D246" s="17" t="s">
        <v>17</v>
      </c>
      <c r="E246" s="18">
        <v>250</v>
      </c>
      <c r="F246" s="19">
        <f>ROUND(E246*C246,2)</f>
        <v>790</v>
      </c>
    </row>
    <row r="247" spans="1:6" ht="16.2" thickBot="1" x14ac:dyDescent="0.35">
      <c r="A247" s="479"/>
      <c r="B247" s="480"/>
      <c r="C247" s="481"/>
      <c r="D247" s="167"/>
      <c r="E247" s="482"/>
      <c r="F247" s="169"/>
    </row>
    <row r="248" spans="1:6" ht="16.8" thickTop="1" thickBot="1" x14ac:dyDescent="0.35">
      <c r="A248" s="32"/>
      <c r="B248" s="33" t="s">
        <v>69</v>
      </c>
      <c r="C248" s="34"/>
      <c r="D248" s="35"/>
      <c r="E248" s="36"/>
      <c r="F248" s="37">
        <f>SUM(F242:F247)</f>
        <v>18527.11</v>
      </c>
    </row>
    <row r="249" spans="1:6" ht="13.8" thickTop="1" x14ac:dyDescent="0.25"/>
    <row r="250" spans="1:6" ht="16.2" thickBot="1" x14ac:dyDescent="0.35">
      <c r="A250" s="463">
        <v>25</v>
      </c>
      <c r="B250" s="219" t="s">
        <v>640</v>
      </c>
      <c r="C250" s="464"/>
      <c r="D250" s="465"/>
      <c r="E250" s="466"/>
      <c r="F250" s="467"/>
    </row>
    <row r="251" spans="1:6" ht="16.2" thickTop="1" x14ac:dyDescent="0.3">
      <c r="A251" s="207" t="s">
        <v>29</v>
      </c>
      <c r="B251" s="208" t="s">
        <v>30</v>
      </c>
      <c r="C251" s="209" t="s">
        <v>2</v>
      </c>
      <c r="D251" s="210" t="s">
        <v>1</v>
      </c>
      <c r="E251" s="211" t="s">
        <v>3</v>
      </c>
      <c r="F251" s="212" t="s">
        <v>31</v>
      </c>
    </row>
    <row r="252" spans="1:6" ht="15" x14ac:dyDescent="0.25">
      <c r="A252" s="428" t="s">
        <v>32</v>
      </c>
      <c r="B252" s="341" t="s">
        <v>639</v>
      </c>
      <c r="C252" s="426">
        <f>34.56*0.12</f>
        <v>4.1471999999999998</v>
      </c>
      <c r="D252" s="427" t="s">
        <v>75</v>
      </c>
      <c r="E252" s="426">
        <f>E242</f>
        <v>4520.28</v>
      </c>
      <c r="F252" s="193">
        <f>ROUND(E252*C252,2)</f>
        <v>18746.509999999998</v>
      </c>
    </row>
    <row r="253" spans="1:6" ht="15" x14ac:dyDescent="0.25">
      <c r="A253" s="428" t="s">
        <v>35</v>
      </c>
      <c r="B253" s="429" t="s">
        <v>16</v>
      </c>
      <c r="C253" s="426">
        <v>2.37</v>
      </c>
      <c r="D253" s="430" t="s">
        <v>17</v>
      </c>
      <c r="E253" s="426">
        <v>1850</v>
      </c>
      <c r="F253" s="193">
        <f>ROUND(E253*C253,2)</f>
        <v>4384.5</v>
      </c>
    </row>
    <row r="254" spans="1:6" ht="15" x14ac:dyDescent="0.25">
      <c r="A254" s="428" t="s">
        <v>38</v>
      </c>
      <c r="B254" s="429" t="s">
        <v>97</v>
      </c>
      <c r="C254" s="426">
        <f>C253*2</f>
        <v>4.74</v>
      </c>
      <c r="D254" s="430" t="s">
        <v>98</v>
      </c>
      <c r="E254" s="426">
        <v>40</v>
      </c>
      <c r="F254" s="193">
        <f>ROUND(E254*C254,2)</f>
        <v>189.6</v>
      </c>
    </row>
    <row r="255" spans="1:6" ht="30" x14ac:dyDescent="0.25">
      <c r="A255" s="424" t="s">
        <v>39</v>
      </c>
      <c r="B255" s="425" t="s">
        <v>450</v>
      </c>
      <c r="C255" s="426">
        <f>18.04+16.52</f>
        <v>34.56</v>
      </c>
      <c r="D255" s="430" t="s">
        <v>5</v>
      </c>
      <c r="E255" s="426">
        <v>275</v>
      </c>
      <c r="F255" s="193">
        <f>ROUND(E255*C255,2)</f>
        <v>9504</v>
      </c>
    </row>
    <row r="256" spans="1:6" ht="15" x14ac:dyDescent="0.25">
      <c r="A256" s="424" t="s">
        <v>41</v>
      </c>
      <c r="B256" s="425" t="s">
        <v>461</v>
      </c>
      <c r="C256" s="426">
        <f>C253</f>
        <v>2.37</v>
      </c>
      <c r="D256" s="430" t="s">
        <v>17</v>
      </c>
      <c r="E256" s="426">
        <v>250</v>
      </c>
      <c r="F256" s="193">
        <f>ROUND(E256*C256,2)</f>
        <v>592.5</v>
      </c>
    </row>
    <row r="257" spans="1:6" ht="15.6" thickBot="1" x14ac:dyDescent="0.3">
      <c r="A257" s="469"/>
      <c r="B257" s="433"/>
      <c r="C257" s="433"/>
      <c r="D257" s="434"/>
      <c r="E257" s="470"/>
      <c r="F257" s="471"/>
    </row>
    <row r="258" spans="1:6" ht="16.8" thickTop="1" thickBot="1" x14ac:dyDescent="0.35">
      <c r="A258" s="472"/>
      <c r="B258" s="214" t="s">
        <v>69</v>
      </c>
      <c r="C258" s="473"/>
      <c r="D258" s="474"/>
      <c r="E258" s="473"/>
      <c r="F258" s="217">
        <f>SUM(F252:F257)/4.15</f>
        <v>8052.3156626506016</v>
      </c>
    </row>
    <row r="259" spans="1:6" ht="13.8" thickTop="1" x14ac:dyDescent="0.25"/>
    <row r="260" spans="1:6" ht="16.2" thickBot="1" x14ac:dyDescent="0.35">
      <c r="A260" s="367">
        <v>30</v>
      </c>
      <c r="B260" s="368" t="s">
        <v>468</v>
      </c>
      <c r="C260" s="369"/>
      <c r="D260" s="370"/>
      <c r="E260" s="371"/>
      <c r="F260" s="371"/>
    </row>
    <row r="261" spans="1:6" ht="16.2" thickTop="1" x14ac:dyDescent="0.3">
      <c r="A261" s="372" t="s">
        <v>29</v>
      </c>
      <c r="B261" s="9" t="s">
        <v>30</v>
      </c>
      <c r="C261" s="10" t="s">
        <v>2</v>
      </c>
      <c r="D261" s="11" t="s">
        <v>1</v>
      </c>
      <c r="E261" s="12" t="s">
        <v>3</v>
      </c>
      <c r="F261" s="13" t="s">
        <v>31</v>
      </c>
    </row>
    <row r="262" spans="1:6" ht="15" x14ac:dyDescent="0.25">
      <c r="A262" s="373" t="s">
        <v>32</v>
      </c>
      <c r="B262" s="374" t="s">
        <v>469</v>
      </c>
      <c r="C262" s="375">
        <v>13</v>
      </c>
      <c r="D262" s="376" t="s">
        <v>52</v>
      </c>
      <c r="E262" s="377">
        <v>22</v>
      </c>
      <c r="F262" s="378">
        <f t="shared" ref="F262:F268" si="4">ROUND(C262*E262,2)</f>
        <v>286</v>
      </c>
    </row>
    <row r="263" spans="1:6" ht="15" x14ac:dyDescent="0.25">
      <c r="A263" s="373" t="s">
        <v>35</v>
      </c>
      <c r="B263" s="374" t="s">
        <v>84</v>
      </c>
      <c r="C263" s="379">
        <v>0.03</v>
      </c>
      <c r="D263" s="376" t="s">
        <v>173</v>
      </c>
      <c r="E263" s="377">
        <f>F104</f>
        <v>4789.0290000000005</v>
      </c>
      <c r="F263" s="378">
        <f t="shared" si="4"/>
        <v>143.66999999999999</v>
      </c>
    </row>
    <row r="264" spans="1:6" ht="15" x14ac:dyDescent="0.25">
      <c r="A264" s="373" t="s">
        <v>38</v>
      </c>
      <c r="B264" s="380" t="s">
        <v>470</v>
      </c>
      <c r="C264" s="379">
        <v>0.02</v>
      </c>
      <c r="D264" s="376" t="s">
        <v>173</v>
      </c>
      <c r="E264" s="377">
        <f>E252</f>
        <v>4520.28</v>
      </c>
      <c r="F264" s="378">
        <f t="shared" si="4"/>
        <v>90.41</v>
      </c>
    </row>
    <row r="265" spans="1:6" ht="15" x14ac:dyDescent="0.25">
      <c r="A265" s="373" t="s">
        <v>39</v>
      </c>
      <c r="B265" s="374" t="s">
        <v>471</v>
      </c>
      <c r="C265" s="379">
        <v>2.5000000000000001E-2</v>
      </c>
      <c r="D265" s="376" t="s">
        <v>17</v>
      </c>
      <c r="E265" s="377">
        <f>E253</f>
        <v>1850</v>
      </c>
      <c r="F265" s="378">
        <f t="shared" si="4"/>
        <v>46.25</v>
      </c>
    </row>
    <row r="266" spans="1:6" ht="15" x14ac:dyDescent="0.25">
      <c r="A266" s="373" t="s">
        <v>41</v>
      </c>
      <c r="B266" s="374" t="s">
        <v>472</v>
      </c>
      <c r="C266" s="375">
        <v>13</v>
      </c>
      <c r="D266" s="376" t="s">
        <v>52</v>
      </c>
      <c r="E266" s="377">
        <v>2.2000000000000002</v>
      </c>
      <c r="F266" s="378">
        <f t="shared" si="4"/>
        <v>28.6</v>
      </c>
    </row>
    <row r="267" spans="1:6" ht="15" x14ac:dyDescent="0.25">
      <c r="A267" s="373" t="s">
        <v>43</v>
      </c>
      <c r="B267" s="374" t="s">
        <v>473</v>
      </c>
      <c r="C267" s="375">
        <f>C266</f>
        <v>13</v>
      </c>
      <c r="D267" s="376" t="s">
        <v>52</v>
      </c>
      <c r="E267" s="377">
        <v>3</v>
      </c>
      <c r="F267" s="378">
        <f t="shared" si="4"/>
        <v>39</v>
      </c>
    </row>
    <row r="268" spans="1:6" ht="15" x14ac:dyDescent="0.25">
      <c r="A268" s="373" t="s">
        <v>45</v>
      </c>
      <c r="B268" s="374" t="s">
        <v>474</v>
      </c>
      <c r="C268" s="375">
        <f>C266</f>
        <v>13</v>
      </c>
      <c r="D268" s="376" t="s">
        <v>52</v>
      </c>
      <c r="E268" s="377">
        <v>15</v>
      </c>
      <c r="F268" s="378">
        <f t="shared" si="4"/>
        <v>195</v>
      </c>
    </row>
    <row r="269" spans="1:6" ht="15.6" thickBot="1" x14ac:dyDescent="0.3">
      <c r="A269" s="381"/>
      <c r="B269" s="382"/>
      <c r="C269" s="383"/>
      <c r="D269" s="384"/>
      <c r="E269" s="385"/>
      <c r="F269" s="386"/>
    </row>
    <row r="270" spans="1:6" ht="16.8" thickTop="1" thickBot="1" x14ac:dyDescent="0.35">
      <c r="A270" s="387"/>
      <c r="B270" s="33" t="s">
        <v>100</v>
      </c>
      <c r="C270" s="34"/>
      <c r="D270" s="35"/>
      <c r="E270" s="36"/>
      <c r="F270" s="37">
        <f>SUM(F262:F269)</f>
        <v>828.93</v>
      </c>
    </row>
    <row r="271" spans="1:6" ht="13.8" thickTop="1" x14ac:dyDescent="0.25"/>
    <row r="272" spans="1:6" ht="16.2" thickBot="1" x14ac:dyDescent="0.35">
      <c r="A272" s="367"/>
      <c r="B272" s="368" t="s">
        <v>715</v>
      </c>
      <c r="C272" s="369"/>
      <c r="D272" s="370"/>
      <c r="E272" s="371"/>
      <c r="F272" s="371"/>
    </row>
    <row r="273" spans="1:6" ht="16.2" thickTop="1" x14ac:dyDescent="0.3">
      <c r="A273" s="372" t="s">
        <v>29</v>
      </c>
      <c r="B273" s="9" t="s">
        <v>30</v>
      </c>
      <c r="C273" s="10" t="s">
        <v>135</v>
      </c>
      <c r="D273" s="11" t="s">
        <v>136</v>
      </c>
      <c r="E273" s="12" t="s">
        <v>227</v>
      </c>
      <c r="F273" s="13" t="s">
        <v>138</v>
      </c>
    </row>
    <row r="274" spans="1:6" ht="15" x14ac:dyDescent="0.25">
      <c r="A274" s="373" t="s">
        <v>32</v>
      </c>
      <c r="B274" s="374" t="s">
        <v>710</v>
      </c>
      <c r="C274" s="375">
        <v>13</v>
      </c>
      <c r="D274" s="376" t="s">
        <v>130</v>
      </c>
      <c r="E274" s="377">
        <v>17</v>
      </c>
      <c r="F274" s="378">
        <f t="shared" ref="F274:F279" si="5">+E274*C274</f>
        <v>221</v>
      </c>
    </row>
    <row r="275" spans="1:6" ht="15" x14ac:dyDescent="0.25">
      <c r="A275" s="373" t="s">
        <v>35</v>
      </c>
      <c r="B275" s="374" t="s">
        <v>711</v>
      </c>
      <c r="C275" s="379">
        <v>0.03</v>
      </c>
      <c r="D275" s="376" t="s">
        <v>275</v>
      </c>
      <c r="E275" s="377">
        <v>1850</v>
      </c>
      <c r="F275" s="378">
        <f t="shared" si="5"/>
        <v>55.5</v>
      </c>
    </row>
    <row r="276" spans="1:6" ht="15" x14ac:dyDescent="0.25">
      <c r="A276" s="373" t="s">
        <v>38</v>
      </c>
      <c r="B276" s="380" t="s">
        <v>712</v>
      </c>
      <c r="C276" s="379">
        <f>2*C275</f>
        <v>0.06</v>
      </c>
      <c r="D276" s="376" t="s">
        <v>94</v>
      </c>
      <c r="E276" s="377">
        <v>40</v>
      </c>
      <c r="F276" s="378">
        <f t="shared" si="5"/>
        <v>2.4</v>
      </c>
    </row>
    <row r="277" spans="1:6" ht="15" x14ac:dyDescent="0.25">
      <c r="A277" s="373" t="s">
        <v>39</v>
      </c>
      <c r="B277" s="374" t="s">
        <v>713</v>
      </c>
      <c r="C277" s="379">
        <v>2.9000000000000001E-2</v>
      </c>
      <c r="D277" s="376" t="s">
        <v>6</v>
      </c>
      <c r="E277" s="377">
        <f>F114</f>
        <v>5899.43</v>
      </c>
      <c r="F277" s="378">
        <f t="shared" si="5"/>
        <v>171.08347000000001</v>
      </c>
    </row>
    <row r="278" spans="1:6" ht="15" x14ac:dyDescent="0.25">
      <c r="A278" s="373" t="s">
        <v>41</v>
      </c>
      <c r="B278" s="380" t="s">
        <v>470</v>
      </c>
      <c r="C278" s="375">
        <v>0.02</v>
      </c>
      <c r="D278" s="376" t="str">
        <f>+D277</f>
        <v>M3</v>
      </c>
      <c r="E278" s="377">
        <f>F94</f>
        <v>4733</v>
      </c>
      <c r="F278" s="378">
        <f t="shared" si="5"/>
        <v>94.66</v>
      </c>
    </row>
    <row r="279" spans="1:6" ht="15.6" thickBot="1" x14ac:dyDescent="0.3">
      <c r="A279" s="373" t="s">
        <v>45</v>
      </c>
      <c r="B279" s="374" t="s">
        <v>714</v>
      </c>
      <c r="C279" s="375">
        <v>13</v>
      </c>
      <c r="D279" s="376" t="s">
        <v>130</v>
      </c>
      <c r="E279" s="377">
        <v>10</v>
      </c>
      <c r="F279" s="378">
        <f t="shared" si="5"/>
        <v>130</v>
      </c>
    </row>
    <row r="280" spans="1:6" ht="16.8" thickTop="1" thickBot="1" x14ac:dyDescent="0.35">
      <c r="A280" s="894" t="s">
        <v>146</v>
      </c>
      <c r="B280" s="895"/>
      <c r="C280" s="895"/>
      <c r="D280" s="895"/>
      <c r="E280" s="895"/>
      <c r="F280" s="37">
        <f>SUM(F274:F279)</f>
        <v>674.64346999999998</v>
      </c>
    </row>
    <row r="281" spans="1:6" ht="13.8" thickTop="1" x14ac:dyDescent="0.25"/>
    <row r="283" spans="1:6" ht="16.2" thickBot="1" x14ac:dyDescent="0.35">
      <c r="A283" s="367">
        <v>30</v>
      </c>
      <c r="B283" s="368" t="s">
        <v>622</v>
      </c>
      <c r="C283" s="369"/>
      <c r="D283" s="370"/>
      <c r="E283" s="371"/>
      <c r="F283" s="371"/>
    </row>
    <row r="284" spans="1:6" ht="16.2" thickTop="1" x14ac:dyDescent="0.3">
      <c r="A284" s="372" t="s">
        <v>29</v>
      </c>
      <c r="B284" s="9" t="s">
        <v>30</v>
      </c>
      <c r="C284" s="10" t="s">
        <v>2</v>
      </c>
      <c r="D284" s="11" t="s">
        <v>1</v>
      </c>
      <c r="E284" s="12" t="s">
        <v>3</v>
      </c>
      <c r="F284" s="13" t="s">
        <v>31</v>
      </c>
    </row>
    <row r="285" spans="1:6" ht="15" x14ac:dyDescent="0.25">
      <c r="A285" s="373" t="s">
        <v>32</v>
      </c>
      <c r="B285" s="374" t="s">
        <v>469</v>
      </c>
      <c r="C285" s="375">
        <v>13</v>
      </c>
      <c r="D285" s="376" t="s">
        <v>52</v>
      </c>
      <c r="E285" s="377">
        <v>26</v>
      </c>
      <c r="F285" s="378">
        <f t="shared" ref="F285:F291" si="6">ROUND(C285*E285,2)</f>
        <v>338</v>
      </c>
    </row>
    <row r="286" spans="1:6" ht="15" x14ac:dyDescent="0.25">
      <c r="A286" s="373" t="s">
        <v>35</v>
      </c>
      <c r="B286" s="374" t="s">
        <v>84</v>
      </c>
      <c r="C286" s="379">
        <v>0.03</v>
      </c>
      <c r="D286" s="376" t="s">
        <v>173</v>
      </c>
      <c r="E286" s="377">
        <f>F104</f>
        <v>4789.0290000000005</v>
      </c>
      <c r="F286" s="378">
        <f t="shared" si="6"/>
        <v>143.66999999999999</v>
      </c>
    </row>
    <row r="287" spans="1:6" ht="15" x14ac:dyDescent="0.25">
      <c r="A287" s="373" t="s">
        <v>38</v>
      </c>
      <c r="B287" s="380" t="s">
        <v>470</v>
      </c>
      <c r="C287" s="379">
        <v>0.06</v>
      </c>
      <c r="D287" s="376" t="s">
        <v>173</v>
      </c>
      <c r="E287" s="377">
        <f>F94</f>
        <v>4733</v>
      </c>
      <c r="F287" s="378">
        <f t="shared" si="6"/>
        <v>283.98</v>
      </c>
    </row>
    <row r="288" spans="1:6" ht="15" x14ac:dyDescent="0.25">
      <c r="A288" s="373" t="s">
        <v>39</v>
      </c>
      <c r="B288" s="374" t="s">
        <v>471</v>
      </c>
      <c r="C288" s="379">
        <v>0.08</v>
      </c>
      <c r="D288" s="376" t="s">
        <v>17</v>
      </c>
      <c r="E288" s="377">
        <f>E234</f>
        <v>1850</v>
      </c>
      <c r="F288" s="378">
        <f t="shared" si="6"/>
        <v>148</v>
      </c>
    </row>
    <row r="289" spans="1:6" ht="15" x14ac:dyDescent="0.25">
      <c r="A289" s="373" t="s">
        <v>41</v>
      </c>
      <c r="B289" s="374" t="s">
        <v>472</v>
      </c>
      <c r="C289" s="375">
        <v>13</v>
      </c>
      <c r="D289" s="376" t="s">
        <v>52</v>
      </c>
      <c r="E289" s="377">
        <v>2.2000000000000002</v>
      </c>
      <c r="F289" s="378">
        <f t="shared" si="6"/>
        <v>28.6</v>
      </c>
    </row>
    <row r="290" spans="1:6" ht="15" x14ac:dyDescent="0.25">
      <c r="A290" s="373" t="s">
        <v>43</v>
      </c>
      <c r="B290" s="374" t="s">
        <v>473</v>
      </c>
      <c r="C290" s="375">
        <f>C289</f>
        <v>13</v>
      </c>
      <c r="D290" s="376" t="s">
        <v>52</v>
      </c>
      <c r="E290" s="377">
        <v>3</v>
      </c>
      <c r="F290" s="378">
        <f t="shared" si="6"/>
        <v>39</v>
      </c>
    </row>
    <row r="291" spans="1:6" ht="15" x14ac:dyDescent="0.25">
      <c r="A291" s="373" t="s">
        <v>45</v>
      </c>
      <c r="B291" s="374" t="s">
        <v>474</v>
      </c>
      <c r="C291" s="375">
        <f>C289</f>
        <v>13</v>
      </c>
      <c r="D291" s="376" t="s">
        <v>52</v>
      </c>
      <c r="E291" s="377">
        <v>15</v>
      </c>
      <c r="F291" s="378">
        <f t="shared" si="6"/>
        <v>195</v>
      </c>
    </row>
    <row r="292" spans="1:6" ht="15.6" thickBot="1" x14ac:dyDescent="0.3">
      <c r="A292" s="381"/>
      <c r="B292" s="382"/>
      <c r="C292" s="383"/>
      <c r="D292" s="384"/>
      <c r="E292" s="385"/>
      <c r="F292" s="386"/>
    </row>
    <row r="293" spans="1:6" ht="16.8" thickTop="1" thickBot="1" x14ac:dyDescent="0.35">
      <c r="A293" s="387"/>
      <c r="B293" s="33" t="s">
        <v>100</v>
      </c>
      <c r="C293" s="34"/>
      <c r="D293" s="35"/>
      <c r="E293" s="36"/>
      <c r="F293" s="37">
        <f>SUM(F285:F292)</f>
        <v>1176.25</v>
      </c>
    </row>
    <row r="294" spans="1:6" ht="13.8" thickTop="1" x14ac:dyDescent="0.25"/>
    <row r="295" spans="1:6" ht="15.6" x14ac:dyDescent="0.3">
      <c r="A295" s="441">
        <v>21</v>
      </c>
      <c r="B295" s="390" t="s">
        <v>623</v>
      </c>
      <c r="C295" s="442"/>
      <c r="D295" s="392"/>
      <c r="E295" s="442"/>
      <c r="F295" s="443"/>
    </row>
    <row r="296" spans="1:6" ht="15.6" x14ac:dyDescent="0.3">
      <c r="A296" s="139" t="s">
        <v>29</v>
      </c>
      <c r="B296" s="140" t="s">
        <v>30</v>
      </c>
      <c r="C296" s="141" t="s">
        <v>2</v>
      </c>
      <c r="D296" s="142" t="s">
        <v>1</v>
      </c>
      <c r="E296" s="143" t="s">
        <v>3</v>
      </c>
      <c r="F296" s="144" t="s">
        <v>31</v>
      </c>
    </row>
    <row r="297" spans="1:6" ht="15.6" x14ac:dyDescent="0.3">
      <c r="A297" s="444"/>
      <c r="B297" s="445" t="s">
        <v>23</v>
      </c>
      <c r="C297" s="446" t="s">
        <v>23</v>
      </c>
      <c r="D297" s="447"/>
      <c r="E297" s="446"/>
      <c r="F297" s="448"/>
    </row>
    <row r="298" spans="1:6" ht="15" x14ac:dyDescent="0.25">
      <c r="A298" s="449" t="s">
        <v>32</v>
      </c>
      <c r="B298" s="425" t="s">
        <v>448</v>
      </c>
      <c r="C298" s="450">
        <v>1.1000000000000001</v>
      </c>
      <c r="D298" s="451" t="s">
        <v>6</v>
      </c>
      <c r="E298" s="452">
        <f>F64</f>
        <v>4714.2</v>
      </c>
      <c r="F298" s="149">
        <f>ROUND(E298*C298,2)</f>
        <v>5185.62</v>
      </c>
    </row>
    <row r="299" spans="1:6" ht="15" x14ac:dyDescent="0.25">
      <c r="A299" s="449" t="s">
        <v>35</v>
      </c>
      <c r="B299" s="218" t="s">
        <v>16</v>
      </c>
      <c r="C299" s="450">
        <v>2.73</v>
      </c>
      <c r="D299" s="451" t="s">
        <v>92</v>
      </c>
      <c r="E299" s="452">
        <v>1850</v>
      </c>
      <c r="F299" s="453">
        <f>ROUND(C299*E299,2)</f>
        <v>5050.5</v>
      </c>
    </row>
    <row r="300" spans="1:6" ht="15" x14ac:dyDescent="0.25">
      <c r="A300" s="449" t="s">
        <v>38</v>
      </c>
      <c r="B300" s="218" t="s">
        <v>93</v>
      </c>
      <c r="C300" s="450">
        <f>C299*2</f>
        <v>5.46</v>
      </c>
      <c r="D300" s="451" t="s">
        <v>94</v>
      </c>
      <c r="E300" s="452">
        <v>40</v>
      </c>
      <c r="F300" s="453">
        <f>ROUND(C300*E300,2)</f>
        <v>218.4</v>
      </c>
    </row>
    <row r="301" spans="1:6" ht="15" x14ac:dyDescent="0.25">
      <c r="A301" s="449" t="s">
        <v>39</v>
      </c>
      <c r="B301" s="218" t="s">
        <v>95</v>
      </c>
      <c r="C301" s="450">
        <f>+C299</f>
        <v>2.73</v>
      </c>
      <c r="D301" s="451" t="s">
        <v>92</v>
      </c>
      <c r="E301" s="452">
        <v>225</v>
      </c>
      <c r="F301" s="453">
        <f>ROUND(C301*E301,2)</f>
        <v>614.25</v>
      </c>
    </row>
    <row r="302" spans="1:6" ht="15" x14ac:dyDescent="0.25">
      <c r="A302" s="449" t="s">
        <v>41</v>
      </c>
      <c r="B302" s="454" t="s">
        <v>459</v>
      </c>
      <c r="C302" s="450">
        <v>13.33</v>
      </c>
      <c r="D302" s="451" t="s">
        <v>5</v>
      </c>
      <c r="E302" s="452">
        <v>350</v>
      </c>
      <c r="F302" s="453">
        <f>ROUND(C302*E302,2)</f>
        <v>4665.5</v>
      </c>
    </row>
    <row r="303" spans="1:6" ht="16.2" thickBot="1" x14ac:dyDescent="0.3">
      <c r="A303" s="455"/>
      <c r="B303" s="456"/>
      <c r="C303" s="457"/>
      <c r="D303" s="458"/>
      <c r="E303" s="457"/>
      <c r="F303" s="459"/>
    </row>
    <row r="304" spans="1:6" ht="16.8" thickTop="1" thickBot="1" x14ac:dyDescent="0.35">
      <c r="A304" s="460"/>
      <c r="B304" s="407" t="s">
        <v>69</v>
      </c>
      <c r="C304" s="461"/>
      <c r="D304" s="462"/>
      <c r="E304" s="461"/>
      <c r="F304" s="410">
        <f>SUM(F298:F303)</f>
        <v>15734.269999999999</v>
      </c>
    </row>
    <row r="305" spans="1:8" ht="13.8" thickTop="1" x14ac:dyDescent="0.25"/>
    <row r="306" spans="1:8" ht="16.2" thickBot="1" x14ac:dyDescent="0.35">
      <c r="A306" s="463">
        <v>25</v>
      </c>
      <c r="B306" s="219" t="s">
        <v>624</v>
      </c>
      <c r="C306" s="464"/>
      <c r="D306" s="465"/>
      <c r="E306" s="466"/>
      <c r="F306" s="467"/>
    </row>
    <row r="307" spans="1:8" ht="16.2" thickTop="1" x14ac:dyDescent="0.3">
      <c r="A307" s="207" t="s">
        <v>29</v>
      </c>
      <c r="B307" s="208" t="s">
        <v>30</v>
      </c>
      <c r="C307" s="209" t="s">
        <v>2</v>
      </c>
      <c r="D307" s="210" t="s">
        <v>1</v>
      </c>
      <c r="E307" s="211" t="s">
        <v>3</v>
      </c>
      <c r="F307" s="212" t="s">
        <v>31</v>
      </c>
    </row>
    <row r="308" spans="1:8" ht="15" x14ac:dyDescent="0.25">
      <c r="A308" s="428" t="s">
        <v>32</v>
      </c>
      <c r="B308" s="468" t="s">
        <v>91</v>
      </c>
      <c r="C308" s="426">
        <v>1.1000000000000001</v>
      </c>
      <c r="D308" s="427" t="s">
        <v>75</v>
      </c>
      <c r="E308" s="426">
        <f>E298</f>
        <v>4714.2</v>
      </c>
      <c r="F308" s="193">
        <f>ROUND(E308*C308,2)</f>
        <v>5185.62</v>
      </c>
    </row>
    <row r="309" spans="1:8" ht="15" x14ac:dyDescent="0.25">
      <c r="A309" s="428" t="s">
        <v>35</v>
      </c>
      <c r="B309" s="429" t="s">
        <v>16</v>
      </c>
      <c r="C309" s="426">
        <v>1.67</v>
      </c>
      <c r="D309" s="430" t="s">
        <v>17</v>
      </c>
      <c r="E309" s="426">
        <v>1850</v>
      </c>
      <c r="F309" s="193">
        <f>ROUND(E309*C309,2)</f>
        <v>3089.5</v>
      </c>
    </row>
    <row r="310" spans="1:8" ht="15" x14ac:dyDescent="0.25">
      <c r="A310" s="428" t="s">
        <v>38</v>
      </c>
      <c r="B310" s="429" t="s">
        <v>97</v>
      </c>
      <c r="C310" s="426">
        <f>C309*2</f>
        <v>3.34</v>
      </c>
      <c r="D310" s="430" t="s">
        <v>98</v>
      </c>
      <c r="E310" s="426">
        <v>40</v>
      </c>
      <c r="F310" s="193">
        <f>ROUND(E310*C310,2)</f>
        <v>133.6</v>
      </c>
    </row>
    <row r="311" spans="1:8" ht="30" x14ac:dyDescent="0.25">
      <c r="A311" s="424" t="s">
        <v>39</v>
      </c>
      <c r="B311" s="425" t="s">
        <v>450</v>
      </c>
      <c r="C311" s="426">
        <v>10</v>
      </c>
      <c r="D311" s="430" t="s">
        <v>5</v>
      </c>
      <c r="E311" s="426">
        <v>275</v>
      </c>
      <c r="F311" s="193">
        <f>ROUND(E311*C311,2)</f>
        <v>2750</v>
      </c>
    </row>
    <row r="312" spans="1:8" ht="15" x14ac:dyDescent="0.25">
      <c r="A312" s="424" t="s">
        <v>41</v>
      </c>
      <c r="B312" s="425" t="s">
        <v>461</v>
      </c>
      <c r="C312" s="426">
        <f>C309</f>
        <v>1.67</v>
      </c>
      <c r="D312" s="430" t="s">
        <v>17</v>
      </c>
      <c r="E312" s="426">
        <v>250</v>
      </c>
      <c r="F312" s="193">
        <f>ROUND(E312*C312,2)</f>
        <v>417.5</v>
      </c>
    </row>
    <row r="313" spans="1:8" ht="15.6" thickBot="1" x14ac:dyDescent="0.3">
      <c r="A313" s="469"/>
      <c r="B313" s="433"/>
      <c r="C313" s="433"/>
      <c r="D313" s="434"/>
      <c r="E313" s="470"/>
      <c r="F313" s="471"/>
    </row>
    <row r="314" spans="1:8" ht="16.8" thickTop="1" thickBot="1" x14ac:dyDescent="0.35">
      <c r="A314" s="472"/>
      <c r="B314" s="214" t="s">
        <v>69</v>
      </c>
      <c r="C314" s="473"/>
      <c r="D314" s="474"/>
      <c r="E314" s="473"/>
      <c r="F314" s="217">
        <f>SUM(F308:F313)</f>
        <v>11576.22</v>
      </c>
    </row>
    <row r="315" spans="1:8" ht="13.8" thickTop="1" x14ac:dyDescent="0.25"/>
    <row r="316" spans="1:8" ht="16.2" thickBot="1" x14ac:dyDescent="0.35">
      <c r="A316" s="177">
        <v>19</v>
      </c>
      <c r="B316" s="178" t="s">
        <v>742</v>
      </c>
      <c r="C316" s="179"/>
      <c r="D316" s="180"/>
      <c r="E316" s="181"/>
      <c r="F316" s="182"/>
      <c r="G316" s="7">
        <v>3.35</v>
      </c>
    </row>
    <row r="317" spans="1:8" ht="16.2" thickTop="1" x14ac:dyDescent="0.3">
      <c r="A317" s="183" t="s">
        <v>29</v>
      </c>
      <c r="B317" s="184" t="s">
        <v>30</v>
      </c>
      <c r="C317" s="185" t="s">
        <v>2</v>
      </c>
      <c r="D317" s="186" t="s">
        <v>1</v>
      </c>
      <c r="E317" s="187" t="s">
        <v>3</v>
      </c>
      <c r="F317" s="188" t="s">
        <v>31</v>
      </c>
      <c r="H317" s="7">
        <f>3.35/(0.25*0.45)</f>
        <v>29.777777777777779</v>
      </c>
    </row>
    <row r="318" spans="1:8" ht="15" x14ac:dyDescent="0.25">
      <c r="A318" s="189" t="s">
        <v>32</v>
      </c>
      <c r="B318" s="190" t="s">
        <v>454</v>
      </c>
      <c r="C318" s="191">
        <v>1.1000000000000001</v>
      </c>
      <c r="D318" s="192" t="s">
        <v>75</v>
      </c>
      <c r="E318" s="191">
        <f>E242</f>
        <v>4520.28</v>
      </c>
      <c r="F318" s="193">
        <f>+E318*C318</f>
        <v>4972.308</v>
      </c>
    </row>
    <row r="319" spans="1:8" ht="15" x14ac:dyDescent="0.25">
      <c r="A319" s="189" t="s">
        <v>35</v>
      </c>
      <c r="B319" s="194" t="s">
        <v>16</v>
      </c>
      <c r="C319" s="191">
        <v>1.1599999999999999</v>
      </c>
      <c r="D319" s="195" t="s">
        <v>17</v>
      </c>
      <c r="E319" s="191">
        <v>1850</v>
      </c>
      <c r="F319" s="193">
        <f>+E319*C319</f>
        <v>2146</v>
      </c>
    </row>
    <row r="320" spans="1:8" ht="15" x14ac:dyDescent="0.25">
      <c r="A320" s="189" t="s">
        <v>38</v>
      </c>
      <c r="B320" s="194" t="s">
        <v>97</v>
      </c>
      <c r="C320" s="191">
        <f>C319*2</f>
        <v>2.3199999999999998</v>
      </c>
      <c r="D320" s="195" t="s">
        <v>98</v>
      </c>
      <c r="E320" s="191">
        <v>40</v>
      </c>
      <c r="F320" s="193">
        <f>+E320*C320</f>
        <v>92.8</v>
      </c>
    </row>
    <row r="321" spans="1:10" ht="15" x14ac:dyDescent="0.25">
      <c r="A321" s="196" t="s">
        <v>39</v>
      </c>
      <c r="B321" s="194" t="s">
        <v>99</v>
      </c>
      <c r="C321" s="191">
        <f>C319</f>
        <v>1.1599999999999999</v>
      </c>
      <c r="D321" s="195" t="s">
        <v>17</v>
      </c>
      <c r="E321" s="191">
        <v>200</v>
      </c>
      <c r="F321" s="193">
        <f>+E321*C321</f>
        <v>231.99999999999997</v>
      </c>
    </row>
    <row r="322" spans="1:10" ht="15.6" thickBot="1" x14ac:dyDescent="0.3">
      <c r="A322" s="197"/>
      <c r="B322" s="198"/>
      <c r="C322" s="199"/>
      <c r="D322" s="200"/>
      <c r="E322" s="199"/>
      <c r="F322" s="201"/>
    </row>
    <row r="323" spans="1:10" ht="16.8" thickTop="1" thickBot="1" x14ac:dyDescent="0.35">
      <c r="A323" s="202"/>
      <c r="B323" s="203" t="s">
        <v>69</v>
      </c>
      <c r="C323" s="204"/>
      <c r="D323" s="205"/>
      <c r="E323" s="204"/>
      <c r="F323" s="206">
        <f>SUM(F318:F322)</f>
        <v>7443.1080000000002</v>
      </c>
    </row>
    <row r="324" spans="1:10" ht="13.8" thickTop="1" x14ac:dyDescent="0.25"/>
    <row r="325" spans="1:10" ht="16.2" thickBot="1" x14ac:dyDescent="0.35">
      <c r="A325" s="177">
        <v>19</v>
      </c>
      <c r="B325" s="178" t="s">
        <v>743</v>
      </c>
      <c r="C325" s="179"/>
      <c r="D325" s="180"/>
      <c r="E325" s="181"/>
      <c r="F325" s="182"/>
    </row>
    <row r="326" spans="1:10" ht="16.2" thickTop="1" x14ac:dyDescent="0.3">
      <c r="A326" s="183" t="s">
        <v>29</v>
      </c>
      <c r="B326" s="184" t="s">
        <v>30</v>
      </c>
      <c r="C326" s="185" t="s">
        <v>2</v>
      </c>
      <c r="D326" s="186" t="s">
        <v>1</v>
      </c>
      <c r="E326" s="187" t="s">
        <v>3</v>
      </c>
      <c r="F326" s="188" t="s">
        <v>31</v>
      </c>
    </row>
    <row r="327" spans="1:10" ht="15" x14ac:dyDescent="0.25">
      <c r="A327" s="189" t="s">
        <v>32</v>
      </c>
      <c r="B327" s="190" t="s">
        <v>454</v>
      </c>
      <c r="C327" s="191">
        <v>1.1000000000000001</v>
      </c>
      <c r="D327" s="192" t="s">
        <v>75</v>
      </c>
      <c r="E327" s="191">
        <f>E318</f>
        <v>4520.28</v>
      </c>
      <c r="F327" s="193">
        <f>+E327*C327</f>
        <v>4972.308</v>
      </c>
    </row>
    <row r="328" spans="1:10" ht="15" x14ac:dyDescent="0.25">
      <c r="A328" s="189" t="s">
        <v>35</v>
      </c>
      <c r="B328" s="194" t="s">
        <v>16</v>
      </c>
      <c r="C328" s="191">
        <v>0.95</v>
      </c>
      <c r="D328" s="195" t="s">
        <v>17</v>
      </c>
      <c r="E328" s="191">
        <v>1850</v>
      </c>
      <c r="F328" s="193">
        <f>+E328*C328</f>
        <v>1757.5</v>
      </c>
    </row>
    <row r="329" spans="1:10" ht="15" x14ac:dyDescent="0.25">
      <c r="A329" s="189" t="s">
        <v>38</v>
      </c>
      <c r="B329" s="194" t="s">
        <v>97</v>
      </c>
      <c r="C329" s="191">
        <f>C328*2</f>
        <v>1.9</v>
      </c>
      <c r="D329" s="195" t="s">
        <v>98</v>
      </c>
      <c r="E329" s="191">
        <v>40</v>
      </c>
      <c r="F329" s="193">
        <f>+E329*C329</f>
        <v>76</v>
      </c>
    </row>
    <row r="330" spans="1:10" ht="15" x14ac:dyDescent="0.25">
      <c r="A330" s="196" t="s">
        <v>39</v>
      </c>
      <c r="B330" s="194" t="s">
        <v>99</v>
      </c>
      <c r="C330" s="191">
        <f>C328</f>
        <v>0.95</v>
      </c>
      <c r="D330" s="195" t="s">
        <v>17</v>
      </c>
      <c r="E330" s="191">
        <v>200</v>
      </c>
      <c r="F330" s="193">
        <f>+E330*C330</f>
        <v>190</v>
      </c>
      <c r="I330" s="7">
        <v>4.5</v>
      </c>
      <c r="J330" s="7">
        <f>I330/(1.5*1.5*0.25)</f>
        <v>8</v>
      </c>
    </row>
    <row r="331" spans="1:10" ht="15.6" thickBot="1" x14ac:dyDescent="0.3">
      <c r="A331" s="197"/>
      <c r="B331" s="198"/>
      <c r="C331" s="199"/>
      <c r="D331" s="200"/>
      <c r="E331" s="199"/>
      <c r="F331" s="201"/>
      <c r="H331" s="7" t="s">
        <v>753</v>
      </c>
      <c r="I331" s="7">
        <f>1.5*1.5*0.25</f>
        <v>0.5625</v>
      </c>
    </row>
    <row r="332" spans="1:10" ht="16.8" thickTop="1" thickBot="1" x14ac:dyDescent="0.35">
      <c r="A332" s="202"/>
      <c r="B332" s="203" t="s">
        <v>69</v>
      </c>
      <c r="C332" s="204"/>
      <c r="D332" s="205"/>
      <c r="E332" s="204"/>
      <c r="F332" s="206">
        <f>SUM(F327:F331)</f>
        <v>6995.808</v>
      </c>
      <c r="I332" s="7">
        <f>1.5/0.25</f>
        <v>6</v>
      </c>
    </row>
    <row r="333" spans="1:10" ht="13.8" thickTop="1" x14ac:dyDescent="0.25"/>
    <row r="334" spans="1:10" ht="16.2" thickBot="1" x14ac:dyDescent="0.35">
      <c r="A334" s="177"/>
      <c r="B334" s="889" t="s">
        <v>744</v>
      </c>
      <c r="C334" s="889"/>
      <c r="D334" s="889"/>
      <c r="E334" s="889"/>
      <c r="F334" s="890"/>
    </row>
    <row r="335" spans="1:10" ht="15.6" thickTop="1" x14ac:dyDescent="0.25">
      <c r="A335" s="189"/>
      <c r="B335" s="190" t="s">
        <v>748</v>
      </c>
      <c r="C335" s="191">
        <v>0.6</v>
      </c>
      <c r="D335" s="192" t="s">
        <v>17</v>
      </c>
      <c r="E335" s="191">
        <v>1850</v>
      </c>
      <c r="F335" s="193">
        <f t="shared" ref="F335:F342" si="7">+E335*C335</f>
        <v>1110</v>
      </c>
      <c r="H335" s="7">
        <v>2.02</v>
      </c>
    </row>
    <row r="336" spans="1:10" ht="15" x14ac:dyDescent="0.25">
      <c r="A336" s="189"/>
      <c r="B336" s="190" t="s">
        <v>362</v>
      </c>
      <c r="C336" s="191">
        <v>0.23</v>
      </c>
      <c r="D336" s="192" t="s">
        <v>17</v>
      </c>
      <c r="E336" s="191">
        <f>+E335</f>
        <v>1850</v>
      </c>
      <c r="F336" s="193">
        <f>+E336*C336</f>
        <v>425.5</v>
      </c>
    </row>
    <row r="337" spans="1:10" ht="15" x14ac:dyDescent="0.25">
      <c r="A337" s="189"/>
      <c r="B337" s="190" t="s">
        <v>93</v>
      </c>
      <c r="C337" s="191">
        <f>+C335*2+C336*2</f>
        <v>1.66</v>
      </c>
      <c r="D337" s="192" t="s">
        <v>266</v>
      </c>
      <c r="E337" s="191">
        <v>40</v>
      </c>
      <c r="F337" s="193">
        <f t="shared" si="7"/>
        <v>66.399999999999991</v>
      </c>
    </row>
    <row r="338" spans="1:10" ht="15" x14ac:dyDescent="0.25">
      <c r="A338" s="189"/>
      <c r="B338" s="190" t="s">
        <v>354</v>
      </c>
      <c r="C338" s="191">
        <v>3</v>
      </c>
      <c r="D338" s="192" t="s">
        <v>159</v>
      </c>
      <c r="E338" s="191">
        <v>400</v>
      </c>
      <c r="F338" s="193">
        <f t="shared" si="7"/>
        <v>1200</v>
      </c>
    </row>
    <row r="339" spans="1:10" ht="15" x14ac:dyDescent="0.25">
      <c r="A339" s="189"/>
      <c r="B339" s="190" t="s">
        <v>749</v>
      </c>
      <c r="C339" s="191">
        <f>0.07*3.6</f>
        <v>0.25200000000000006</v>
      </c>
      <c r="D339" s="192" t="s">
        <v>6</v>
      </c>
      <c r="E339" s="191">
        <f>E308</f>
        <v>4714.2</v>
      </c>
      <c r="F339" s="193">
        <f t="shared" si="7"/>
        <v>1187.9784000000002</v>
      </c>
    </row>
    <row r="340" spans="1:10" ht="15" x14ac:dyDescent="0.25">
      <c r="A340" s="189"/>
      <c r="B340" s="190" t="s">
        <v>268</v>
      </c>
      <c r="C340" s="191">
        <f>+C336+C335</f>
        <v>0.83</v>
      </c>
      <c r="D340" s="192" t="s">
        <v>17</v>
      </c>
      <c r="E340" s="191">
        <v>260</v>
      </c>
      <c r="F340" s="193">
        <f t="shared" si="7"/>
        <v>215.79999999999998</v>
      </c>
    </row>
    <row r="341" spans="1:10" ht="15" x14ac:dyDescent="0.25">
      <c r="A341" s="189"/>
      <c r="B341" s="190" t="s">
        <v>355</v>
      </c>
      <c r="C341" s="191">
        <v>3.6</v>
      </c>
      <c r="D341" s="192" t="s">
        <v>159</v>
      </c>
      <c r="E341" s="191">
        <v>250</v>
      </c>
      <c r="F341" s="193">
        <f t="shared" si="7"/>
        <v>900</v>
      </c>
    </row>
    <row r="342" spans="1:10" ht="15.6" thickBot="1" x14ac:dyDescent="0.3">
      <c r="A342" s="189"/>
      <c r="B342" s="190" t="s">
        <v>271</v>
      </c>
      <c r="C342" s="191">
        <v>0.1</v>
      </c>
      <c r="D342" s="192" t="s">
        <v>200</v>
      </c>
      <c r="E342" s="191">
        <f>SUM(F335:F341)</f>
        <v>5105.6784000000007</v>
      </c>
      <c r="F342" s="193">
        <f t="shared" si="7"/>
        <v>510.5678400000001</v>
      </c>
    </row>
    <row r="343" spans="1:10" ht="16.8" thickTop="1" thickBot="1" x14ac:dyDescent="0.35">
      <c r="A343" s="202"/>
      <c r="B343" s="203" t="s">
        <v>69</v>
      </c>
      <c r="C343" s="204"/>
      <c r="D343" s="205"/>
      <c r="E343" s="204"/>
      <c r="F343" s="206">
        <f>SUM(F335:F342)/C339</f>
        <v>22286.691428571427</v>
      </c>
    </row>
    <row r="344" spans="1:10" ht="13.8" thickTop="1" x14ac:dyDescent="0.25"/>
    <row r="345" spans="1:10" ht="16.2" thickBot="1" x14ac:dyDescent="0.35">
      <c r="A345" s="177"/>
      <c r="B345" s="889" t="s">
        <v>745</v>
      </c>
      <c r="C345" s="889"/>
      <c r="D345" s="889"/>
      <c r="E345" s="889"/>
      <c r="F345" s="890"/>
    </row>
    <row r="346" spans="1:10" ht="15.6" thickTop="1" x14ac:dyDescent="0.25">
      <c r="A346" s="189"/>
      <c r="B346" s="190" t="s">
        <v>750</v>
      </c>
      <c r="C346" s="191">
        <v>1.23</v>
      </c>
      <c r="D346" s="192" t="s">
        <v>17</v>
      </c>
      <c r="E346" s="191">
        <v>1850</v>
      </c>
      <c r="F346" s="193">
        <f t="shared" ref="F346:F353" si="8">+E346*C346</f>
        <v>2275.5</v>
      </c>
    </row>
    <row r="347" spans="1:10" ht="15" x14ac:dyDescent="0.25">
      <c r="A347" s="189"/>
      <c r="B347" s="190" t="s">
        <v>751</v>
      </c>
      <c r="C347" s="191">
        <v>1.31</v>
      </c>
      <c r="D347" s="192" t="s">
        <v>17</v>
      </c>
      <c r="E347" s="191">
        <v>1850</v>
      </c>
      <c r="F347" s="193">
        <f t="shared" si="8"/>
        <v>2423.5</v>
      </c>
      <c r="H347" s="7">
        <v>0.64</v>
      </c>
      <c r="I347" s="7">
        <f>0.15*0.25</f>
        <v>3.7499999999999999E-2</v>
      </c>
      <c r="J347" s="7">
        <f>H347/I347</f>
        <v>17.066666666666666</v>
      </c>
    </row>
    <row r="348" spans="1:10" ht="15" x14ac:dyDescent="0.25">
      <c r="A348" s="189"/>
      <c r="B348" s="190" t="s">
        <v>93</v>
      </c>
      <c r="C348" s="191">
        <f>+(C347+C346)*2</f>
        <v>5.08</v>
      </c>
      <c r="D348" s="192" t="s">
        <v>266</v>
      </c>
      <c r="E348" s="191">
        <v>40</v>
      </c>
      <c r="F348" s="193">
        <f t="shared" si="8"/>
        <v>203.2</v>
      </c>
    </row>
    <row r="349" spans="1:10" ht="15" x14ac:dyDescent="0.25">
      <c r="A349" s="189"/>
      <c r="B349" s="190" t="s">
        <v>359</v>
      </c>
      <c r="C349" s="191">
        <v>24</v>
      </c>
      <c r="D349" s="192" t="s">
        <v>159</v>
      </c>
      <c r="E349" s="191">
        <v>360</v>
      </c>
      <c r="F349" s="193">
        <f t="shared" si="8"/>
        <v>8640</v>
      </c>
    </row>
    <row r="350" spans="1:10" ht="15" x14ac:dyDescent="0.25">
      <c r="A350" s="189"/>
      <c r="B350" s="190" t="s">
        <v>749</v>
      </c>
      <c r="C350" s="191">
        <f>0.15*0.25*24</f>
        <v>0.89999999999999991</v>
      </c>
      <c r="D350" s="192" t="s">
        <v>6</v>
      </c>
      <c r="E350" s="191">
        <f>E339</f>
        <v>4714.2</v>
      </c>
      <c r="F350" s="193">
        <f t="shared" si="8"/>
        <v>4242.78</v>
      </c>
    </row>
    <row r="351" spans="1:10" ht="15" x14ac:dyDescent="0.25">
      <c r="A351" s="189"/>
      <c r="B351" s="190" t="s">
        <v>268</v>
      </c>
      <c r="C351" s="191">
        <f>+C347+C346</f>
        <v>2.54</v>
      </c>
      <c r="D351" s="192" t="s">
        <v>17</v>
      </c>
      <c r="E351" s="191">
        <v>260</v>
      </c>
      <c r="F351" s="193">
        <f t="shared" si="8"/>
        <v>660.4</v>
      </c>
    </row>
    <row r="352" spans="1:10" ht="15" x14ac:dyDescent="0.25">
      <c r="A352" s="189"/>
      <c r="B352" s="190" t="s">
        <v>360</v>
      </c>
      <c r="C352" s="191">
        <v>24</v>
      </c>
      <c r="D352" s="192" t="s">
        <v>159</v>
      </c>
      <c r="E352" s="191">
        <v>250</v>
      </c>
      <c r="F352" s="193">
        <f t="shared" si="8"/>
        <v>6000</v>
      </c>
    </row>
    <row r="353" spans="1:10" ht="15.6" thickBot="1" x14ac:dyDescent="0.3">
      <c r="A353" s="189"/>
      <c r="B353" s="190" t="s">
        <v>271</v>
      </c>
      <c r="C353" s="191">
        <v>0.1</v>
      </c>
      <c r="D353" s="192" t="s">
        <v>200</v>
      </c>
      <c r="E353" s="191">
        <f>SUM(F346:F352)</f>
        <v>24445.38</v>
      </c>
      <c r="F353" s="193">
        <f t="shared" si="8"/>
        <v>2444.538</v>
      </c>
    </row>
    <row r="354" spans="1:10" ht="16.8" thickTop="1" thickBot="1" x14ac:dyDescent="0.35">
      <c r="A354" s="202"/>
      <c r="B354" s="203" t="s">
        <v>69</v>
      </c>
      <c r="C354" s="204"/>
      <c r="D354" s="205"/>
      <c r="E354" s="204"/>
      <c r="F354" s="206">
        <f>SUM(F346:F353)/C350</f>
        <v>29877.686666666672</v>
      </c>
    </row>
    <row r="355" spans="1:10" ht="13.8" thickTop="1" x14ac:dyDescent="0.25"/>
    <row r="356" spans="1:10" ht="16.2" thickBot="1" x14ac:dyDescent="0.35">
      <c r="A356" s="177"/>
      <c r="B356" s="889" t="s">
        <v>746</v>
      </c>
      <c r="C356" s="889"/>
      <c r="D356" s="889"/>
      <c r="E356" s="889"/>
      <c r="F356" s="890"/>
    </row>
    <row r="357" spans="1:10" ht="15.6" thickTop="1" x14ac:dyDescent="0.25">
      <c r="A357" s="189"/>
      <c r="B357" s="190" t="s">
        <v>752</v>
      </c>
      <c r="C357" s="191">
        <v>3.95</v>
      </c>
      <c r="D357" s="192" t="s">
        <v>17</v>
      </c>
      <c r="E357" s="191">
        <v>1850</v>
      </c>
      <c r="F357" s="193">
        <f t="shared" ref="F357:F364" si="9">+E357*C357</f>
        <v>7307.5</v>
      </c>
    </row>
    <row r="358" spans="1:10" ht="15" x14ac:dyDescent="0.25">
      <c r="A358" s="189"/>
      <c r="B358" s="190" t="s">
        <v>751</v>
      </c>
      <c r="C358" s="191">
        <v>2.36</v>
      </c>
      <c r="D358" s="192" t="s">
        <v>17</v>
      </c>
      <c r="E358" s="191">
        <v>1850</v>
      </c>
      <c r="F358" s="193">
        <f t="shared" si="9"/>
        <v>4366</v>
      </c>
    </row>
    <row r="359" spans="1:10" ht="15" x14ac:dyDescent="0.25">
      <c r="A359" s="189"/>
      <c r="B359" s="190" t="s">
        <v>93</v>
      </c>
      <c r="C359" s="191">
        <f>+(C358+C357)*2</f>
        <v>12.620000000000001</v>
      </c>
      <c r="D359" s="192" t="s">
        <v>266</v>
      </c>
      <c r="E359" s="191">
        <v>40</v>
      </c>
      <c r="F359" s="193">
        <f t="shared" si="9"/>
        <v>504.80000000000007</v>
      </c>
    </row>
    <row r="360" spans="1:10" ht="15" x14ac:dyDescent="0.25">
      <c r="A360" s="189"/>
      <c r="B360" s="190" t="s">
        <v>359</v>
      </c>
      <c r="C360" s="191">
        <v>24</v>
      </c>
      <c r="D360" s="192" t="s">
        <v>159</v>
      </c>
      <c r="E360" s="191">
        <v>360</v>
      </c>
      <c r="F360" s="193">
        <f t="shared" si="9"/>
        <v>8640</v>
      </c>
      <c r="H360" s="7">
        <v>2.5</v>
      </c>
      <c r="I360" s="7">
        <f>0.25*0.3</f>
        <v>7.4999999999999997E-2</v>
      </c>
      <c r="J360" s="7">
        <f>H360/I360</f>
        <v>33.333333333333336</v>
      </c>
    </row>
    <row r="361" spans="1:10" ht="15" x14ac:dyDescent="0.25">
      <c r="A361" s="189"/>
      <c r="B361" s="190" t="s">
        <v>749</v>
      </c>
      <c r="C361" s="191">
        <f>24*0.25*0.3</f>
        <v>1.7999999999999998</v>
      </c>
      <c r="D361" s="192" t="s">
        <v>6</v>
      </c>
      <c r="E361" s="191">
        <f>E350</f>
        <v>4714.2</v>
      </c>
      <c r="F361" s="193">
        <f t="shared" si="9"/>
        <v>8485.56</v>
      </c>
    </row>
    <row r="362" spans="1:10" ht="15" x14ac:dyDescent="0.25">
      <c r="A362" s="189"/>
      <c r="B362" s="190" t="s">
        <v>268</v>
      </c>
      <c r="C362" s="191">
        <f>+C358+C357</f>
        <v>6.3100000000000005</v>
      </c>
      <c r="D362" s="192" t="s">
        <v>17</v>
      </c>
      <c r="E362" s="191">
        <v>260</v>
      </c>
      <c r="F362" s="193">
        <f t="shared" si="9"/>
        <v>1640.6000000000001</v>
      </c>
    </row>
    <row r="363" spans="1:10" ht="15" x14ac:dyDescent="0.25">
      <c r="A363" s="189"/>
      <c r="B363" s="190" t="s">
        <v>360</v>
      </c>
      <c r="C363" s="191">
        <v>24</v>
      </c>
      <c r="D363" s="192" t="s">
        <v>159</v>
      </c>
      <c r="E363" s="191">
        <v>250</v>
      </c>
      <c r="F363" s="193">
        <f t="shared" si="9"/>
        <v>6000</v>
      </c>
    </row>
    <row r="364" spans="1:10" ht="15.6" thickBot="1" x14ac:dyDescent="0.3">
      <c r="A364" s="189"/>
      <c r="B364" s="190" t="s">
        <v>271</v>
      </c>
      <c r="C364" s="191">
        <v>0.1</v>
      </c>
      <c r="D364" s="192" t="s">
        <v>200</v>
      </c>
      <c r="E364" s="191">
        <f>SUM(F357:F363)</f>
        <v>36944.46</v>
      </c>
      <c r="F364" s="193">
        <f t="shared" si="9"/>
        <v>3694.4459999999999</v>
      </c>
    </row>
    <row r="365" spans="1:10" ht="16.8" thickTop="1" thickBot="1" x14ac:dyDescent="0.35">
      <c r="A365" s="202"/>
      <c r="B365" s="203" t="s">
        <v>69</v>
      </c>
      <c r="C365" s="204"/>
      <c r="D365" s="205"/>
      <c r="E365" s="204"/>
      <c r="F365" s="206">
        <f>SUM(F357:F364)/C361</f>
        <v>22577.170000000006</v>
      </c>
    </row>
    <row r="366" spans="1:10" ht="13.8" thickTop="1" x14ac:dyDescent="0.25"/>
    <row r="367" spans="1:10" ht="36" customHeight="1" thickBot="1" x14ac:dyDescent="0.35">
      <c r="A367" s="177"/>
      <c r="B367" s="889" t="s">
        <v>754</v>
      </c>
      <c r="C367" s="889"/>
      <c r="D367" s="889"/>
      <c r="E367" s="889"/>
      <c r="F367" s="890"/>
    </row>
    <row r="368" spans="1:10" ht="15.6" thickTop="1" x14ac:dyDescent="0.25">
      <c r="A368" s="189"/>
      <c r="B368" s="190" t="s">
        <v>755</v>
      </c>
      <c r="C368" s="191">
        <v>2.62</v>
      </c>
      <c r="D368" s="192" t="s">
        <v>17</v>
      </c>
      <c r="E368" s="191">
        <v>1850</v>
      </c>
      <c r="F368" s="193">
        <f t="shared" ref="F368:F375" si="10">+E368*C368</f>
        <v>4847</v>
      </c>
    </row>
    <row r="369" spans="1:6" ht="15" x14ac:dyDescent="0.25">
      <c r="A369" s="189"/>
      <c r="B369" s="190" t="s">
        <v>751</v>
      </c>
      <c r="C369" s="191">
        <v>1.97</v>
      </c>
      <c r="D369" s="192" t="s">
        <v>17</v>
      </c>
      <c r="E369" s="191">
        <v>1850</v>
      </c>
      <c r="F369" s="193">
        <f t="shared" si="10"/>
        <v>3644.5</v>
      </c>
    </row>
    <row r="370" spans="1:6" ht="15" x14ac:dyDescent="0.25">
      <c r="A370" s="189"/>
      <c r="B370" s="190" t="s">
        <v>93</v>
      </c>
      <c r="C370" s="191">
        <f>+(C369+C368)*2</f>
        <v>9.18</v>
      </c>
      <c r="D370" s="192" t="s">
        <v>266</v>
      </c>
      <c r="E370" s="191">
        <v>40</v>
      </c>
      <c r="F370" s="193">
        <f t="shared" si="10"/>
        <v>367.2</v>
      </c>
    </row>
    <row r="371" spans="1:6" ht="15" x14ac:dyDescent="0.25">
      <c r="A371" s="189"/>
      <c r="B371" s="190" t="s">
        <v>359</v>
      </c>
      <c r="C371" s="191">
        <v>24</v>
      </c>
      <c r="D371" s="192" t="s">
        <v>159</v>
      </c>
      <c r="E371" s="191">
        <v>360</v>
      </c>
      <c r="F371" s="193">
        <f t="shared" si="10"/>
        <v>8640</v>
      </c>
    </row>
    <row r="372" spans="1:6" ht="15" x14ac:dyDescent="0.25">
      <c r="A372" s="189"/>
      <c r="B372" s="190" t="s">
        <v>749</v>
      </c>
      <c r="C372" s="191">
        <f>24*0.25*0.3</f>
        <v>1.7999999999999998</v>
      </c>
      <c r="D372" s="192" t="s">
        <v>6</v>
      </c>
      <c r="E372" s="191">
        <f>E361</f>
        <v>4714.2</v>
      </c>
      <c r="F372" s="193">
        <f t="shared" si="10"/>
        <v>8485.56</v>
      </c>
    </row>
    <row r="373" spans="1:6" ht="15" x14ac:dyDescent="0.25">
      <c r="A373" s="189"/>
      <c r="B373" s="190" t="s">
        <v>268</v>
      </c>
      <c r="C373" s="191">
        <f>+C369+C368</f>
        <v>4.59</v>
      </c>
      <c r="D373" s="192" t="s">
        <v>17</v>
      </c>
      <c r="E373" s="191">
        <v>260</v>
      </c>
      <c r="F373" s="193">
        <f t="shared" si="10"/>
        <v>1193.3999999999999</v>
      </c>
    </row>
    <row r="374" spans="1:6" ht="15" x14ac:dyDescent="0.25">
      <c r="A374" s="189"/>
      <c r="B374" s="190" t="s">
        <v>360</v>
      </c>
      <c r="C374" s="191">
        <v>24</v>
      </c>
      <c r="D374" s="192" t="s">
        <v>159</v>
      </c>
      <c r="E374" s="191">
        <v>250</v>
      </c>
      <c r="F374" s="193">
        <f t="shared" si="10"/>
        <v>6000</v>
      </c>
    </row>
    <row r="375" spans="1:6" ht="15.6" thickBot="1" x14ac:dyDescent="0.3">
      <c r="A375" s="189"/>
      <c r="B375" s="190" t="s">
        <v>271</v>
      </c>
      <c r="C375" s="191">
        <v>0.1</v>
      </c>
      <c r="D375" s="192" t="s">
        <v>200</v>
      </c>
      <c r="E375" s="191">
        <f>SUM(F368:F374)</f>
        <v>33177.660000000003</v>
      </c>
      <c r="F375" s="193">
        <f t="shared" si="10"/>
        <v>3317.7660000000005</v>
      </c>
    </row>
    <row r="376" spans="1:6" ht="16.8" thickTop="1" thickBot="1" x14ac:dyDescent="0.35">
      <c r="A376" s="202"/>
      <c r="B376" s="203" t="s">
        <v>69</v>
      </c>
      <c r="C376" s="204"/>
      <c r="D376" s="205"/>
      <c r="E376" s="204"/>
      <c r="F376" s="206">
        <f>SUM(F368:F375)/C372</f>
        <v>20275.236666666671</v>
      </c>
    </row>
    <row r="377" spans="1:6" ht="13.8" thickTop="1" x14ac:dyDescent="0.25"/>
    <row r="378" spans="1:6" ht="36" customHeight="1" thickBot="1" x14ac:dyDescent="0.35">
      <c r="A378" s="177"/>
      <c r="B378" s="889" t="s">
        <v>756</v>
      </c>
      <c r="C378" s="889"/>
      <c r="D378" s="889"/>
      <c r="E378" s="889"/>
      <c r="F378" s="890"/>
    </row>
    <row r="379" spans="1:6" ht="15.6" thickTop="1" x14ac:dyDescent="0.25">
      <c r="A379" s="189"/>
      <c r="B379" s="190" t="s">
        <v>362</v>
      </c>
      <c r="C379" s="191">
        <v>2.38</v>
      </c>
      <c r="D379" s="192" t="s">
        <v>17</v>
      </c>
      <c r="E379" s="191">
        <v>1850</v>
      </c>
      <c r="F379" s="193">
        <f t="shared" ref="F379:F385" si="11">+E379*C379</f>
        <v>4403</v>
      </c>
    </row>
    <row r="380" spans="1:6" ht="15" x14ac:dyDescent="0.25">
      <c r="A380" s="189"/>
      <c r="B380" s="190" t="s">
        <v>93</v>
      </c>
      <c r="C380" s="191">
        <f>+C379*2.2</f>
        <v>5.2359999999999998</v>
      </c>
      <c r="D380" s="192" t="s">
        <v>266</v>
      </c>
      <c r="E380" s="191">
        <v>40</v>
      </c>
      <c r="F380" s="193">
        <f t="shared" si="11"/>
        <v>209.44</v>
      </c>
    </row>
    <row r="381" spans="1:6" ht="15" x14ac:dyDescent="0.25">
      <c r="A381" s="189"/>
      <c r="B381" s="190" t="s">
        <v>363</v>
      </c>
      <c r="C381" s="191">
        <f>1/0.13</f>
        <v>7.6923076923076916</v>
      </c>
      <c r="D381" s="192" t="s">
        <v>159</v>
      </c>
      <c r="E381" s="191">
        <v>290</v>
      </c>
      <c r="F381" s="193">
        <f t="shared" si="11"/>
        <v>2230.7692307692305</v>
      </c>
    </row>
    <row r="382" spans="1:6" ht="15" x14ac:dyDescent="0.25">
      <c r="A382" s="189"/>
      <c r="B382" s="190" t="s">
        <v>749</v>
      </c>
      <c r="C382" s="191">
        <v>0.21</v>
      </c>
      <c r="D382" s="192" t="s">
        <v>6</v>
      </c>
      <c r="E382" s="191">
        <f>E372</f>
        <v>4714.2</v>
      </c>
      <c r="F382" s="193">
        <f t="shared" si="11"/>
        <v>989.98199999999997</v>
      </c>
    </row>
    <row r="383" spans="1:6" ht="15" x14ac:dyDescent="0.25">
      <c r="A383" s="189"/>
      <c r="B383" s="190" t="s">
        <v>268</v>
      </c>
      <c r="C383" s="191">
        <f>+C379</f>
        <v>2.38</v>
      </c>
      <c r="D383" s="192" t="s">
        <v>17</v>
      </c>
      <c r="E383" s="191">
        <v>260</v>
      </c>
      <c r="F383" s="193">
        <f t="shared" si="11"/>
        <v>618.79999999999995</v>
      </c>
    </row>
    <row r="384" spans="1:6" ht="15" x14ac:dyDescent="0.25">
      <c r="A384" s="189"/>
      <c r="B384" s="190" t="s">
        <v>364</v>
      </c>
      <c r="C384" s="191">
        <f>+C382*1.05</f>
        <v>0.2205</v>
      </c>
      <c r="D384" s="192" t="s">
        <v>173</v>
      </c>
      <c r="E384" s="191">
        <v>270</v>
      </c>
      <c r="F384" s="193">
        <f t="shared" si="11"/>
        <v>59.535000000000004</v>
      </c>
    </row>
    <row r="385" spans="1:11" ht="15.6" thickBot="1" x14ac:dyDescent="0.3">
      <c r="A385" s="189"/>
      <c r="B385" s="190" t="s">
        <v>271</v>
      </c>
      <c r="C385" s="191">
        <v>0.1</v>
      </c>
      <c r="D385" s="192" t="s">
        <v>200</v>
      </c>
      <c r="E385" s="191">
        <f>SUM(F379:F384)</f>
        <v>8511.5262307692301</v>
      </c>
      <c r="F385" s="193">
        <f t="shared" si="11"/>
        <v>851.15262307692308</v>
      </c>
    </row>
    <row r="386" spans="1:11" ht="16.8" thickTop="1" thickBot="1" x14ac:dyDescent="0.35">
      <c r="A386" s="202"/>
      <c r="B386" s="203" t="s">
        <v>69</v>
      </c>
      <c r="C386" s="204"/>
      <c r="D386" s="205"/>
      <c r="E386" s="204"/>
      <c r="F386" s="206">
        <f>SUM(F379:F385)</f>
        <v>9362.6788538461533</v>
      </c>
    </row>
    <row r="387" spans="1:11" ht="13.8" thickTop="1" x14ac:dyDescent="0.25"/>
    <row r="388" spans="1:11" ht="16.2" thickBot="1" x14ac:dyDescent="0.35">
      <c r="A388" s="177"/>
      <c r="B388" s="889" t="s">
        <v>803</v>
      </c>
      <c r="C388" s="889"/>
      <c r="D388" s="889"/>
      <c r="E388" s="889"/>
      <c r="F388" s="890"/>
    </row>
    <row r="389" spans="1:11" ht="15.6" thickTop="1" x14ac:dyDescent="0.25">
      <c r="A389" s="189"/>
      <c r="B389" s="190" t="s">
        <v>804</v>
      </c>
      <c r="C389" s="191">
        <v>0.36</v>
      </c>
      <c r="D389" s="192" t="s">
        <v>17</v>
      </c>
      <c r="E389" s="191">
        <v>1850</v>
      </c>
      <c r="F389" s="193">
        <f t="shared" ref="F389" si="12">+E389*C389</f>
        <v>666</v>
      </c>
      <c r="H389" s="7">
        <f>4*3.2</f>
        <v>12.8</v>
      </c>
      <c r="I389" s="7">
        <f>H389/6</f>
        <v>2.1333333333333333</v>
      </c>
      <c r="J389" s="7">
        <f>I389/6</f>
        <v>0.35555555555555557</v>
      </c>
    </row>
    <row r="390" spans="1:11" ht="15" x14ac:dyDescent="0.25">
      <c r="A390" s="189"/>
      <c r="B390" s="190" t="s">
        <v>362</v>
      </c>
      <c r="C390" s="191">
        <v>0.17</v>
      </c>
      <c r="D390" s="192" t="s">
        <v>17</v>
      </c>
      <c r="E390" s="191">
        <f>+E389</f>
        <v>1850</v>
      </c>
      <c r="F390" s="193">
        <f>+E390*C390</f>
        <v>314.5</v>
      </c>
      <c r="H390" s="7">
        <f>3.2/0.2</f>
        <v>16</v>
      </c>
      <c r="I390" s="7">
        <f>H390*0.85</f>
        <v>13.6</v>
      </c>
      <c r="J390" s="7">
        <f>I390/6</f>
        <v>2.2666666666666666</v>
      </c>
      <c r="K390" s="7">
        <f>J390/13</f>
        <v>0.17435897435897435</v>
      </c>
    </row>
    <row r="391" spans="1:11" ht="15" x14ac:dyDescent="0.25">
      <c r="A391" s="189"/>
      <c r="B391" s="190" t="s">
        <v>93</v>
      </c>
      <c r="C391" s="191">
        <f>+C389*2+C390*2</f>
        <v>1.06</v>
      </c>
      <c r="D391" s="192" t="s">
        <v>266</v>
      </c>
      <c r="E391" s="191">
        <v>40</v>
      </c>
      <c r="F391" s="193">
        <f t="shared" ref="F391:F396" si="13">+E391*C391</f>
        <v>42.400000000000006</v>
      </c>
    </row>
    <row r="392" spans="1:11" ht="15" x14ac:dyDescent="0.25">
      <c r="A392" s="189"/>
      <c r="B392" s="190" t="s">
        <v>354</v>
      </c>
      <c r="C392" s="191">
        <v>3.2</v>
      </c>
      <c r="D392" s="192" t="s">
        <v>159</v>
      </c>
      <c r="E392" s="191">
        <v>400</v>
      </c>
      <c r="F392" s="193">
        <f t="shared" si="13"/>
        <v>1280</v>
      </c>
    </row>
    <row r="393" spans="1:11" ht="15" x14ac:dyDescent="0.25">
      <c r="A393" s="189"/>
      <c r="B393" s="190" t="s">
        <v>749</v>
      </c>
      <c r="C393" s="191">
        <f>0.2*0.2*3.2</f>
        <v>0.12800000000000003</v>
      </c>
      <c r="D393" s="192" t="s">
        <v>6</v>
      </c>
      <c r="E393" s="191">
        <f>E382</f>
        <v>4714.2</v>
      </c>
      <c r="F393" s="193">
        <f t="shared" si="13"/>
        <v>603.41760000000011</v>
      </c>
    </row>
    <row r="394" spans="1:11" ht="15" x14ac:dyDescent="0.25">
      <c r="A394" s="189"/>
      <c r="B394" s="190" t="s">
        <v>268</v>
      </c>
      <c r="C394" s="191">
        <f>+C390+C389</f>
        <v>0.53</v>
      </c>
      <c r="D394" s="192" t="s">
        <v>17</v>
      </c>
      <c r="E394" s="191">
        <v>260</v>
      </c>
      <c r="F394" s="193">
        <f t="shared" si="13"/>
        <v>137.80000000000001</v>
      </c>
    </row>
    <row r="395" spans="1:11" ht="15" x14ac:dyDescent="0.25">
      <c r="A395" s="189"/>
      <c r="B395" s="190" t="s">
        <v>355</v>
      </c>
      <c r="C395" s="191">
        <v>3.6</v>
      </c>
      <c r="D395" s="192" t="s">
        <v>159</v>
      </c>
      <c r="E395" s="191">
        <v>250</v>
      </c>
      <c r="F395" s="193">
        <f t="shared" si="13"/>
        <v>900</v>
      </c>
    </row>
    <row r="396" spans="1:11" ht="15.6" thickBot="1" x14ac:dyDescent="0.3">
      <c r="A396" s="189"/>
      <c r="B396" s="190" t="s">
        <v>271</v>
      </c>
      <c r="C396" s="191">
        <v>0.1</v>
      </c>
      <c r="D396" s="192" t="s">
        <v>200</v>
      </c>
      <c r="E396" s="191">
        <f>SUM(F389:F395)</f>
        <v>3944.1176000000005</v>
      </c>
      <c r="F396" s="193">
        <f t="shared" si="13"/>
        <v>394.41176000000007</v>
      </c>
    </row>
    <row r="397" spans="1:11" ht="16.8" thickTop="1" thickBot="1" x14ac:dyDescent="0.35">
      <c r="A397" s="202"/>
      <c r="B397" s="203" t="s">
        <v>69</v>
      </c>
      <c r="C397" s="204"/>
      <c r="D397" s="205"/>
      <c r="E397" s="204"/>
      <c r="F397" s="206">
        <f>SUM(F389:F396)/C393</f>
        <v>33894.760624999995</v>
      </c>
    </row>
    <row r="398" spans="1:11" ht="13.8" thickTop="1" x14ac:dyDescent="0.25"/>
    <row r="399" spans="1:11" ht="16.2" thickBot="1" x14ac:dyDescent="0.35">
      <c r="A399" s="177"/>
      <c r="B399" s="889" t="s">
        <v>806</v>
      </c>
      <c r="C399" s="889"/>
      <c r="D399" s="889"/>
      <c r="E399" s="889"/>
      <c r="F399" s="890"/>
    </row>
    <row r="400" spans="1:11" ht="15.6" thickTop="1" x14ac:dyDescent="0.25">
      <c r="A400" s="189"/>
      <c r="B400" s="190" t="s">
        <v>750</v>
      </c>
      <c r="C400" s="191">
        <v>1.23</v>
      </c>
      <c r="D400" s="192" t="s">
        <v>17</v>
      </c>
      <c r="E400" s="191">
        <v>1850</v>
      </c>
      <c r="F400" s="193">
        <f t="shared" ref="F400:F407" si="14">+E400*C400</f>
        <v>2275.5</v>
      </c>
    </row>
    <row r="401" spans="1:6" ht="15" x14ac:dyDescent="0.25">
      <c r="A401" s="189"/>
      <c r="B401" s="190" t="s">
        <v>751</v>
      </c>
      <c r="C401" s="191">
        <v>1.31</v>
      </c>
      <c r="D401" s="192" t="s">
        <v>17</v>
      </c>
      <c r="E401" s="191">
        <v>1850</v>
      </c>
      <c r="F401" s="193">
        <f t="shared" si="14"/>
        <v>2423.5</v>
      </c>
    </row>
    <row r="402" spans="1:6" ht="15" x14ac:dyDescent="0.25">
      <c r="A402" s="189"/>
      <c r="B402" s="190" t="s">
        <v>93</v>
      </c>
      <c r="C402" s="191">
        <f>+(C401+C400)*2</f>
        <v>5.08</v>
      </c>
      <c r="D402" s="192" t="s">
        <v>266</v>
      </c>
      <c r="E402" s="191">
        <v>40</v>
      </c>
      <c r="F402" s="193">
        <f t="shared" si="14"/>
        <v>203.2</v>
      </c>
    </row>
    <row r="403" spans="1:6" ht="15" x14ac:dyDescent="0.25">
      <c r="A403" s="189"/>
      <c r="B403" s="190" t="s">
        <v>359</v>
      </c>
      <c r="C403" s="191">
        <v>24</v>
      </c>
      <c r="D403" s="192" t="s">
        <v>159</v>
      </c>
      <c r="E403" s="191">
        <v>360</v>
      </c>
      <c r="F403" s="193">
        <f t="shared" si="14"/>
        <v>8640</v>
      </c>
    </row>
    <row r="404" spans="1:6" ht="15" x14ac:dyDescent="0.25">
      <c r="A404" s="189"/>
      <c r="B404" s="190" t="s">
        <v>749</v>
      </c>
      <c r="C404" s="191">
        <f>0.15*0.2*42.66</f>
        <v>1.2797999999999998</v>
      </c>
      <c r="D404" s="192" t="s">
        <v>6</v>
      </c>
      <c r="E404" s="191">
        <f>E393</f>
        <v>4714.2</v>
      </c>
      <c r="F404" s="193">
        <f t="shared" si="14"/>
        <v>6033.2331599999989</v>
      </c>
    </row>
    <row r="405" spans="1:6" ht="15" x14ac:dyDescent="0.25">
      <c r="A405" s="189"/>
      <c r="B405" s="190" t="s">
        <v>268</v>
      </c>
      <c r="C405" s="191">
        <f>+C401+C400</f>
        <v>2.54</v>
      </c>
      <c r="D405" s="192" t="s">
        <v>17</v>
      </c>
      <c r="E405" s="191">
        <v>260</v>
      </c>
      <c r="F405" s="193">
        <f t="shared" si="14"/>
        <v>660.4</v>
      </c>
    </row>
    <row r="406" spans="1:6" ht="15" x14ac:dyDescent="0.25">
      <c r="A406" s="189"/>
      <c r="B406" s="190" t="s">
        <v>360</v>
      </c>
      <c r="C406" s="191">
        <v>24</v>
      </c>
      <c r="D406" s="192" t="s">
        <v>159</v>
      </c>
      <c r="E406" s="191">
        <v>250</v>
      </c>
      <c r="F406" s="193">
        <f t="shared" si="14"/>
        <v>6000</v>
      </c>
    </row>
    <row r="407" spans="1:6" ht="15.6" thickBot="1" x14ac:dyDescent="0.3">
      <c r="A407" s="189"/>
      <c r="B407" s="190" t="s">
        <v>271</v>
      </c>
      <c r="C407" s="191">
        <v>0.1</v>
      </c>
      <c r="D407" s="192" t="s">
        <v>200</v>
      </c>
      <c r="E407" s="191">
        <f>SUM(F400:F406)</f>
        <v>26235.833160000002</v>
      </c>
      <c r="F407" s="193">
        <f t="shared" si="14"/>
        <v>2623.5833160000002</v>
      </c>
    </row>
    <row r="408" spans="1:6" ht="16.8" thickTop="1" thickBot="1" x14ac:dyDescent="0.35">
      <c r="A408" s="202"/>
      <c r="B408" s="203" t="s">
        <v>69</v>
      </c>
      <c r="C408" s="204"/>
      <c r="D408" s="205"/>
      <c r="E408" s="204"/>
      <c r="F408" s="206">
        <f>SUM(F400:F407)/C404</f>
        <v>22549.942550398504</v>
      </c>
    </row>
    <row r="409" spans="1:6" ht="13.8" thickTop="1" x14ac:dyDescent="0.25"/>
    <row r="410" spans="1:6" ht="16.2" thickBot="1" x14ac:dyDescent="0.35">
      <c r="A410" s="177"/>
      <c r="B410" s="889" t="s">
        <v>805</v>
      </c>
      <c r="C410" s="889"/>
      <c r="D410" s="889"/>
      <c r="E410" s="889"/>
      <c r="F410" s="890"/>
    </row>
    <row r="411" spans="1:6" ht="15.6" thickTop="1" x14ac:dyDescent="0.25">
      <c r="A411" s="189"/>
      <c r="B411" s="190" t="s">
        <v>750</v>
      </c>
      <c r="C411" s="191">
        <v>1.23</v>
      </c>
      <c r="D411" s="192" t="s">
        <v>17</v>
      </c>
      <c r="E411" s="191">
        <v>1850</v>
      </c>
      <c r="F411" s="193">
        <f t="shared" ref="F411:F418" si="15">+E411*C411</f>
        <v>2275.5</v>
      </c>
    </row>
    <row r="412" spans="1:6" ht="15" x14ac:dyDescent="0.25">
      <c r="A412" s="189"/>
      <c r="B412" s="190" t="s">
        <v>751</v>
      </c>
      <c r="C412" s="191">
        <v>1.31</v>
      </c>
      <c r="D412" s="192" t="s">
        <v>17</v>
      </c>
      <c r="E412" s="191">
        <v>1850</v>
      </c>
      <c r="F412" s="193">
        <f t="shared" si="15"/>
        <v>2423.5</v>
      </c>
    </row>
    <row r="413" spans="1:6" ht="15" x14ac:dyDescent="0.25">
      <c r="A413" s="189"/>
      <c r="B413" s="190" t="s">
        <v>93</v>
      </c>
      <c r="C413" s="191">
        <f>+(C412+C411)*2</f>
        <v>5.08</v>
      </c>
      <c r="D413" s="192" t="s">
        <v>266</v>
      </c>
      <c r="E413" s="191">
        <v>40</v>
      </c>
      <c r="F413" s="193">
        <f t="shared" si="15"/>
        <v>203.2</v>
      </c>
    </row>
    <row r="414" spans="1:6" ht="15" x14ac:dyDescent="0.25">
      <c r="A414" s="189"/>
      <c r="B414" s="190" t="s">
        <v>359</v>
      </c>
      <c r="C414" s="191">
        <v>24</v>
      </c>
      <c r="D414" s="192" t="s">
        <v>159</v>
      </c>
      <c r="E414" s="191">
        <v>360</v>
      </c>
      <c r="F414" s="193">
        <f t="shared" si="15"/>
        <v>8640</v>
      </c>
    </row>
    <row r="415" spans="1:6" ht="15" x14ac:dyDescent="0.25">
      <c r="A415" s="189"/>
      <c r="B415" s="190" t="s">
        <v>749</v>
      </c>
      <c r="C415" s="191">
        <f>0.15*0.2*42.66</f>
        <v>1.2797999999999998</v>
      </c>
      <c r="D415" s="192" t="s">
        <v>6</v>
      </c>
      <c r="E415" s="191">
        <f>E404</f>
        <v>4714.2</v>
      </c>
      <c r="F415" s="193">
        <f t="shared" si="15"/>
        <v>6033.2331599999989</v>
      </c>
    </row>
    <row r="416" spans="1:6" ht="15" x14ac:dyDescent="0.25">
      <c r="A416" s="189"/>
      <c r="B416" s="190" t="s">
        <v>268</v>
      </c>
      <c r="C416" s="191">
        <f>+C412+C411</f>
        <v>2.54</v>
      </c>
      <c r="D416" s="192" t="s">
        <v>17</v>
      </c>
      <c r="E416" s="191">
        <v>260</v>
      </c>
      <c r="F416" s="193">
        <f t="shared" si="15"/>
        <v>660.4</v>
      </c>
    </row>
    <row r="417" spans="1:9" ht="15" x14ac:dyDescent="0.25">
      <c r="A417" s="189"/>
      <c r="B417" s="190" t="s">
        <v>360</v>
      </c>
      <c r="C417" s="191">
        <v>24</v>
      </c>
      <c r="D417" s="192" t="s">
        <v>159</v>
      </c>
      <c r="E417" s="191">
        <v>250</v>
      </c>
      <c r="F417" s="193">
        <f t="shared" si="15"/>
        <v>6000</v>
      </c>
    </row>
    <row r="418" spans="1:9" ht="15.6" thickBot="1" x14ac:dyDescent="0.3">
      <c r="A418" s="189"/>
      <c r="B418" s="190" t="s">
        <v>271</v>
      </c>
      <c r="C418" s="191">
        <v>0.1</v>
      </c>
      <c r="D418" s="192" t="s">
        <v>200</v>
      </c>
      <c r="E418" s="191">
        <f>SUM(F411:F417)</f>
        <v>26235.833160000002</v>
      </c>
      <c r="F418" s="193">
        <f t="shared" si="15"/>
        <v>2623.5833160000002</v>
      </c>
    </row>
    <row r="419" spans="1:9" ht="16.8" thickTop="1" thickBot="1" x14ac:dyDescent="0.35">
      <c r="A419" s="202"/>
      <c r="B419" s="203" t="s">
        <v>69</v>
      </c>
      <c r="C419" s="204"/>
      <c r="D419" s="205"/>
      <c r="E419" s="204"/>
      <c r="F419" s="206">
        <f>SUM(F411:F418)/C415</f>
        <v>22549.942550398504</v>
      </c>
    </row>
    <row r="420" spans="1:9" ht="13.8" thickTop="1" x14ac:dyDescent="0.25"/>
    <row r="421" spans="1:9" ht="16.2" thickBot="1" x14ac:dyDescent="0.35">
      <c r="A421" s="177"/>
      <c r="B421" s="889" t="s">
        <v>807</v>
      </c>
      <c r="C421" s="889"/>
      <c r="D421" s="889"/>
      <c r="E421" s="889"/>
      <c r="F421" s="890"/>
    </row>
    <row r="422" spans="1:9" ht="15.6" thickTop="1" x14ac:dyDescent="0.25">
      <c r="A422" s="189"/>
      <c r="B422" s="190" t="s">
        <v>808</v>
      </c>
      <c r="C422" s="191">
        <v>1.33</v>
      </c>
      <c r="D422" s="192" t="s">
        <v>17</v>
      </c>
      <c r="E422" s="191">
        <v>1850</v>
      </c>
      <c r="F422" s="193">
        <f t="shared" ref="F422:F429" si="16">+E422*C422</f>
        <v>2460.5</v>
      </c>
      <c r="H422" s="7">
        <f>((3*6)/6)/3</f>
        <v>1</v>
      </c>
      <c r="I422" s="7">
        <f>((2*6)/6)/6</f>
        <v>0.33333333333333331</v>
      </c>
    </row>
    <row r="423" spans="1:9" ht="15" x14ac:dyDescent="0.25">
      <c r="A423" s="189"/>
      <c r="B423" s="190" t="s">
        <v>751</v>
      </c>
      <c r="C423" s="191">
        <v>0.36</v>
      </c>
      <c r="D423" s="192" t="s">
        <v>17</v>
      </c>
      <c r="E423" s="191">
        <v>1850</v>
      </c>
      <c r="F423" s="193">
        <f t="shared" si="16"/>
        <v>666</v>
      </c>
      <c r="H423" s="7">
        <f>6/0.2</f>
        <v>30</v>
      </c>
      <c r="I423" s="7">
        <f>((H423*0.95)/6)/13</f>
        <v>0.36538461538461536</v>
      </c>
    </row>
    <row r="424" spans="1:9" ht="15" x14ac:dyDescent="0.25">
      <c r="A424" s="189"/>
      <c r="B424" s="190" t="s">
        <v>93</v>
      </c>
      <c r="C424" s="191">
        <f>+(C423+C422)*2</f>
        <v>3.38</v>
      </c>
      <c r="D424" s="192" t="s">
        <v>266</v>
      </c>
      <c r="E424" s="191">
        <v>40</v>
      </c>
      <c r="F424" s="193">
        <f t="shared" si="16"/>
        <v>135.19999999999999</v>
      </c>
    </row>
    <row r="425" spans="1:9" ht="15" x14ac:dyDescent="0.25">
      <c r="A425" s="189"/>
      <c r="B425" s="190" t="s">
        <v>359</v>
      </c>
      <c r="C425" s="191">
        <v>6</v>
      </c>
      <c r="D425" s="192" t="s">
        <v>159</v>
      </c>
      <c r="E425" s="191">
        <v>360</v>
      </c>
      <c r="F425" s="193">
        <f t="shared" si="16"/>
        <v>2160</v>
      </c>
    </row>
    <row r="426" spans="1:9" ht="15" x14ac:dyDescent="0.25">
      <c r="A426" s="189"/>
      <c r="B426" s="190" t="s">
        <v>749</v>
      </c>
      <c r="C426" s="191">
        <f>0.2*0.25*6</f>
        <v>0.30000000000000004</v>
      </c>
      <c r="D426" s="192" t="s">
        <v>6</v>
      </c>
      <c r="E426" s="191">
        <f>E415</f>
        <v>4714.2</v>
      </c>
      <c r="F426" s="193">
        <f t="shared" si="16"/>
        <v>1414.2600000000002</v>
      </c>
    </row>
    <row r="427" spans="1:9" ht="15" x14ac:dyDescent="0.25">
      <c r="A427" s="189"/>
      <c r="B427" s="190" t="s">
        <v>268</v>
      </c>
      <c r="C427" s="191">
        <f>+C423+C422</f>
        <v>1.69</v>
      </c>
      <c r="D427" s="192" t="s">
        <v>17</v>
      </c>
      <c r="E427" s="191">
        <v>260</v>
      </c>
      <c r="F427" s="193">
        <f t="shared" si="16"/>
        <v>439.4</v>
      </c>
    </row>
    <row r="428" spans="1:9" ht="15" x14ac:dyDescent="0.25">
      <c r="A428" s="189"/>
      <c r="B428" s="190" t="s">
        <v>360</v>
      </c>
      <c r="C428" s="191">
        <v>6</v>
      </c>
      <c r="D428" s="192" t="s">
        <v>159</v>
      </c>
      <c r="E428" s="191">
        <v>250</v>
      </c>
      <c r="F428" s="193">
        <f t="shared" si="16"/>
        <v>1500</v>
      </c>
    </row>
    <row r="429" spans="1:9" ht="15.6" thickBot="1" x14ac:dyDescent="0.3">
      <c r="A429" s="189"/>
      <c r="B429" s="190" t="s">
        <v>271</v>
      </c>
      <c r="C429" s="191">
        <v>0.1</v>
      </c>
      <c r="D429" s="192" t="s">
        <v>200</v>
      </c>
      <c r="E429" s="191">
        <f>SUM(F422:F428)</f>
        <v>8775.36</v>
      </c>
      <c r="F429" s="193">
        <f t="shared" si="16"/>
        <v>877.53600000000006</v>
      </c>
    </row>
    <row r="430" spans="1:9" ht="16.8" thickTop="1" thickBot="1" x14ac:dyDescent="0.35">
      <c r="A430" s="202"/>
      <c r="B430" s="203" t="s">
        <v>69</v>
      </c>
      <c r="C430" s="204"/>
      <c r="D430" s="205"/>
      <c r="E430" s="204"/>
      <c r="F430" s="206">
        <f>SUM(F422:F429)/C426</f>
        <v>32176.319999999996</v>
      </c>
    </row>
    <row r="431" spans="1:9" ht="13.8" thickTop="1" x14ac:dyDescent="0.25"/>
    <row r="432" spans="1:9" ht="16.2" thickBot="1" x14ac:dyDescent="0.35">
      <c r="A432" s="177"/>
      <c r="B432" s="889" t="s">
        <v>809</v>
      </c>
      <c r="C432" s="889"/>
      <c r="D432" s="889"/>
      <c r="E432" s="889"/>
      <c r="F432" s="890"/>
    </row>
    <row r="433" spans="1:6" ht="15.6" thickTop="1" x14ac:dyDescent="0.25">
      <c r="A433" s="189"/>
      <c r="B433" s="190" t="s">
        <v>362</v>
      </c>
      <c r="C433" s="191">
        <v>2.38</v>
      </c>
      <c r="D433" s="192" t="s">
        <v>17</v>
      </c>
      <c r="E433" s="191">
        <v>1850</v>
      </c>
      <c r="F433" s="193">
        <f t="shared" ref="F433:F439" si="17">+E433*C433</f>
        <v>4403</v>
      </c>
    </row>
    <row r="434" spans="1:6" ht="15" x14ac:dyDescent="0.25">
      <c r="A434" s="189"/>
      <c r="B434" s="190" t="s">
        <v>93</v>
      </c>
      <c r="C434" s="191">
        <f>+C433*2.2</f>
        <v>5.2359999999999998</v>
      </c>
      <c r="D434" s="192" t="s">
        <v>266</v>
      </c>
      <c r="E434" s="191">
        <v>40</v>
      </c>
      <c r="F434" s="193">
        <f t="shared" si="17"/>
        <v>209.44</v>
      </c>
    </row>
    <row r="435" spans="1:6" ht="15" x14ac:dyDescent="0.25">
      <c r="A435" s="189"/>
      <c r="B435" s="190" t="s">
        <v>363</v>
      </c>
      <c r="C435" s="191">
        <f>1/0.13</f>
        <v>7.6923076923076916</v>
      </c>
      <c r="D435" s="192" t="s">
        <v>159</v>
      </c>
      <c r="E435" s="191">
        <v>290</v>
      </c>
      <c r="F435" s="193">
        <f t="shared" si="17"/>
        <v>2230.7692307692305</v>
      </c>
    </row>
    <row r="436" spans="1:6" ht="15" x14ac:dyDescent="0.25">
      <c r="A436" s="189"/>
      <c r="B436" s="190" t="s">
        <v>749</v>
      </c>
      <c r="C436" s="191">
        <v>0.21</v>
      </c>
      <c r="D436" s="192" t="s">
        <v>6</v>
      </c>
      <c r="E436" s="191">
        <f>E426</f>
        <v>4714.2</v>
      </c>
      <c r="F436" s="193">
        <f t="shared" si="17"/>
        <v>989.98199999999997</v>
      </c>
    </row>
    <row r="437" spans="1:6" ht="15" x14ac:dyDescent="0.25">
      <c r="A437" s="189"/>
      <c r="B437" s="190" t="s">
        <v>268</v>
      </c>
      <c r="C437" s="191">
        <f>+C433</f>
        <v>2.38</v>
      </c>
      <c r="D437" s="192" t="s">
        <v>17</v>
      </c>
      <c r="E437" s="191">
        <v>260</v>
      </c>
      <c r="F437" s="193">
        <f t="shared" si="17"/>
        <v>618.79999999999995</v>
      </c>
    </row>
    <row r="438" spans="1:6" ht="15" x14ac:dyDescent="0.25">
      <c r="A438" s="189"/>
      <c r="B438" s="190" t="s">
        <v>364</v>
      </c>
      <c r="C438" s="191">
        <f>+C436*1.05</f>
        <v>0.2205</v>
      </c>
      <c r="D438" s="192" t="s">
        <v>173</v>
      </c>
      <c r="E438" s="191">
        <v>270</v>
      </c>
      <c r="F438" s="193">
        <f t="shared" si="17"/>
        <v>59.535000000000004</v>
      </c>
    </row>
    <row r="439" spans="1:6" ht="15.6" thickBot="1" x14ac:dyDescent="0.3">
      <c r="A439" s="189"/>
      <c r="B439" s="190" t="s">
        <v>271</v>
      </c>
      <c r="C439" s="191">
        <v>0.1</v>
      </c>
      <c r="D439" s="192" t="s">
        <v>200</v>
      </c>
      <c r="E439" s="191">
        <f>SUM(F433:F438)</f>
        <v>8511.5262307692301</v>
      </c>
      <c r="F439" s="193">
        <f t="shared" si="17"/>
        <v>851.15262307692308</v>
      </c>
    </row>
    <row r="440" spans="1:6" ht="16.8" thickTop="1" thickBot="1" x14ac:dyDescent="0.35">
      <c r="A440" s="202"/>
      <c r="B440" s="203" t="s">
        <v>69</v>
      </c>
      <c r="C440" s="204"/>
      <c r="D440" s="205"/>
      <c r="E440" s="204"/>
      <c r="F440" s="206">
        <f>SUM(F433:F439)</f>
        <v>9362.6788538461533</v>
      </c>
    </row>
    <row r="441" spans="1:6" ht="13.8" thickTop="1" x14ac:dyDescent="0.25"/>
    <row r="442" spans="1:6" s="733" customFormat="1" ht="16.2" thickBot="1" x14ac:dyDescent="0.35">
      <c r="A442" s="735">
        <v>19</v>
      </c>
      <c r="B442" s="736" t="s">
        <v>810</v>
      </c>
      <c r="C442" s="737"/>
      <c r="D442" s="738"/>
      <c r="E442" s="739"/>
      <c r="F442" s="740"/>
    </row>
    <row r="443" spans="1:6" s="733" customFormat="1" ht="16.2" thickTop="1" x14ac:dyDescent="0.3">
      <c r="A443" s="741" t="s">
        <v>29</v>
      </c>
      <c r="B443" s="742" t="s">
        <v>30</v>
      </c>
      <c r="C443" s="743" t="s">
        <v>2</v>
      </c>
      <c r="D443" s="744" t="s">
        <v>1</v>
      </c>
      <c r="E443" s="745" t="s">
        <v>3</v>
      </c>
      <c r="F443" s="746" t="s">
        <v>31</v>
      </c>
    </row>
    <row r="444" spans="1:6" s="733" customFormat="1" ht="15" x14ac:dyDescent="0.25">
      <c r="A444" s="747" t="s">
        <v>32</v>
      </c>
      <c r="B444" s="748" t="s">
        <v>749</v>
      </c>
      <c r="C444" s="749">
        <v>1.1000000000000001</v>
      </c>
      <c r="D444" s="750" t="s">
        <v>75</v>
      </c>
      <c r="E444" s="749">
        <f>E467:E467</f>
        <v>4714.2</v>
      </c>
      <c r="F444" s="751">
        <f>+E444*C444</f>
        <v>5185.62</v>
      </c>
    </row>
    <row r="445" spans="1:6" s="733" customFormat="1" ht="15" x14ac:dyDescent="0.25">
      <c r="A445" s="747" t="s">
        <v>35</v>
      </c>
      <c r="B445" s="752" t="s">
        <v>16</v>
      </c>
      <c r="C445" s="749">
        <v>1.1599999999999999</v>
      </c>
      <c r="D445" s="753" t="s">
        <v>17</v>
      </c>
      <c r="E445" s="749">
        <v>1850</v>
      </c>
      <c r="F445" s="751">
        <f>+E445*C445</f>
        <v>2146</v>
      </c>
    </row>
    <row r="446" spans="1:6" s="733" customFormat="1" ht="15" x14ac:dyDescent="0.25">
      <c r="A446" s="747" t="s">
        <v>38</v>
      </c>
      <c r="B446" s="752" t="s">
        <v>97</v>
      </c>
      <c r="C446" s="749">
        <f>C445*2</f>
        <v>2.3199999999999998</v>
      </c>
      <c r="D446" s="753" t="s">
        <v>98</v>
      </c>
      <c r="E446" s="749">
        <v>40</v>
      </c>
      <c r="F446" s="751">
        <f>+E446*C446</f>
        <v>92.8</v>
      </c>
    </row>
    <row r="447" spans="1:6" s="733" customFormat="1" ht="15" x14ac:dyDescent="0.25">
      <c r="A447" s="754" t="s">
        <v>39</v>
      </c>
      <c r="B447" s="752" t="s">
        <v>99</v>
      </c>
      <c r="C447" s="749">
        <f>C445</f>
        <v>1.1599999999999999</v>
      </c>
      <c r="D447" s="753" t="s">
        <v>17</v>
      </c>
      <c r="E447" s="749">
        <v>200</v>
      </c>
      <c r="F447" s="751">
        <f>+E447*C447</f>
        <v>231.99999999999997</v>
      </c>
    </row>
    <row r="448" spans="1:6" s="733" customFormat="1" ht="15.6" thickBot="1" x14ac:dyDescent="0.3">
      <c r="A448" s="755"/>
      <c r="B448" s="756"/>
      <c r="C448" s="757"/>
      <c r="D448" s="758"/>
      <c r="E448" s="757"/>
      <c r="F448" s="759"/>
    </row>
    <row r="449" spans="1:8" s="733" customFormat="1" ht="16.8" thickTop="1" thickBot="1" x14ac:dyDescent="0.35">
      <c r="A449" s="760"/>
      <c r="B449" s="761" t="s">
        <v>69</v>
      </c>
      <c r="C449" s="762"/>
      <c r="D449" s="763"/>
      <c r="E449" s="762"/>
      <c r="F449" s="764">
        <f>SUM(F444:F448)</f>
        <v>7656.42</v>
      </c>
    </row>
    <row r="450" spans="1:8" s="733" customFormat="1" ht="13.8" thickTop="1" x14ac:dyDescent="0.25"/>
    <row r="451" spans="1:8" s="733" customFormat="1" x14ac:dyDescent="0.25"/>
    <row r="452" spans="1:8" ht="16.2" thickBot="1" x14ac:dyDescent="0.35">
      <c r="A452" s="735">
        <v>19</v>
      </c>
      <c r="B452" s="736" t="s">
        <v>811</v>
      </c>
      <c r="C452" s="737"/>
      <c r="D452" s="738"/>
      <c r="E452" s="739"/>
      <c r="F452" s="740"/>
    </row>
    <row r="453" spans="1:8" ht="16.2" thickTop="1" x14ac:dyDescent="0.3">
      <c r="A453" s="741" t="s">
        <v>29</v>
      </c>
      <c r="B453" s="742" t="s">
        <v>30</v>
      </c>
      <c r="C453" s="743" t="s">
        <v>2</v>
      </c>
      <c r="D453" s="744" t="s">
        <v>1</v>
      </c>
      <c r="E453" s="745" t="s">
        <v>3</v>
      </c>
      <c r="F453" s="746" t="s">
        <v>31</v>
      </c>
    </row>
    <row r="454" spans="1:8" ht="15" x14ac:dyDescent="0.25">
      <c r="A454" s="747" t="s">
        <v>32</v>
      </c>
      <c r="B454" s="748" t="s">
        <v>749</v>
      </c>
      <c r="C454" s="749">
        <v>1.1000000000000001</v>
      </c>
      <c r="D454" s="750" t="s">
        <v>75</v>
      </c>
      <c r="E454" s="749">
        <f>E444</f>
        <v>4714.2</v>
      </c>
      <c r="F454" s="751">
        <f>+E454*C454</f>
        <v>5185.62</v>
      </c>
      <c r="H454" s="7">
        <f>((((1.7/0.2)*1.8)/6)/6)*2</f>
        <v>0.85000000000000009</v>
      </c>
    </row>
    <row r="455" spans="1:8" ht="15" x14ac:dyDescent="0.25">
      <c r="A455" s="747" t="s">
        <v>35</v>
      </c>
      <c r="B455" s="752" t="s">
        <v>16</v>
      </c>
      <c r="C455" s="749">
        <v>0.95</v>
      </c>
      <c r="D455" s="753" t="s">
        <v>17</v>
      </c>
      <c r="E455" s="749">
        <v>1850</v>
      </c>
      <c r="F455" s="751">
        <f>+E455*C455</f>
        <v>1757.5</v>
      </c>
    </row>
    <row r="456" spans="1:8" ht="15" x14ac:dyDescent="0.25">
      <c r="A456" s="747" t="s">
        <v>38</v>
      </c>
      <c r="B456" s="752" t="s">
        <v>97</v>
      </c>
      <c r="C456" s="749">
        <f>C455*2</f>
        <v>1.9</v>
      </c>
      <c r="D456" s="753" t="s">
        <v>98</v>
      </c>
      <c r="E456" s="749">
        <v>40</v>
      </c>
      <c r="F456" s="751">
        <f>+E456*C456</f>
        <v>76</v>
      </c>
    </row>
    <row r="457" spans="1:8" ht="15" x14ac:dyDescent="0.25">
      <c r="A457" s="754" t="s">
        <v>39</v>
      </c>
      <c r="B457" s="752" t="s">
        <v>99</v>
      </c>
      <c r="C457" s="749">
        <f>C455</f>
        <v>0.95</v>
      </c>
      <c r="D457" s="753" t="s">
        <v>17</v>
      </c>
      <c r="E457" s="749">
        <v>200</v>
      </c>
      <c r="F457" s="751">
        <f>+E457*C457</f>
        <v>190</v>
      </c>
    </row>
    <row r="458" spans="1:8" ht="15.6" thickBot="1" x14ac:dyDescent="0.3">
      <c r="A458" s="755"/>
      <c r="B458" s="756"/>
      <c r="C458" s="757"/>
      <c r="D458" s="758"/>
      <c r="E458" s="757"/>
      <c r="F458" s="759"/>
    </row>
    <row r="459" spans="1:8" ht="16.8" thickTop="1" thickBot="1" x14ac:dyDescent="0.35">
      <c r="A459" s="760"/>
      <c r="B459" s="761" t="s">
        <v>69</v>
      </c>
      <c r="C459" s="762"/>
      <c r="D459" s="763"/>
      <c r="E459" s="762"/>
      <c r="F459" s="764">
        <f>SUM(F454:F458)</f>
        <v>7209.12</v>
      </c>
    </row>
    <row r="460" spans="1:8" ht="13.8" thickTop="1" x14ac:dyDescent="0.25"/>
    <row r="462" spans="1:8" ht="16.2" thickBot="1" x14ac:dyDescent="0.35">
      <c r="A462" s="735"/>
      <c r="B462" s="889" t="s">
        <v>812</v>
      </c>
      <c r="C462" s="889"/>
      <c r="D462" s="889"/>
      <c r="E462" s="889"/>
      <c r="F462" s="890"/>
    </row>
    <row r="463" spans="1:8" ht="15.6" thickTop="1" x14ac:dyDescent="0.25">
      <c r="A463" s="747"/>
      <c r="B463" s="748" t="s">
        <v>813</v>
      </c>
      <c r="C463" s="749">
        <f>0.9+0.5+0.4+0.3</f>
        <v>2.0999999999999996</v>
      </c>
      <c r="D463" s="750" t="s">
        <v>17</v>
      </c>
      <c r="E463" s="749">
        <v>1850</v>
      </c>
      <c r="F463" s="751">
        <f t="shared" ref="F463" si="18">+E463*C463</f>
        <v>3884.9999999999995</v>
      </c>
    </row>
    <row r="464" spans="1:8" ht="15" x14ac:dyDescent="0.25">
      <c r="A464" s="747"/>
      <c r="B464" s="748" t="s">
        <v>362</v>
      </c>
      <c r="C464" s="749">
        <f>0.29+0.29+0.17</f>
        <v>0.75</v>
      </c>
      <c r="D464" s="750" t="s">
        <v>17</v>
      </c>
      <c r="E464" s="749">
        <f>+E463</f>
        <v>1850</v>
      </c>
      <c r="F464" s="751">
        <f>+E464*C464</f>
        <v>1387.5</v>
      </c>
    </row>
    <row r="465" spans="1:6" ht="15" x14ac:dyDescent="0.25">
      <c r="A465" s="747"/>
      <c r="B465" s="748" t="s">
        <v>93</v>
      </c>
      <c r="C465" s="749">
        <f>+C463*2+C464*2</f>
        <v>5.6999999999999993</v>
      </c>
      <c r="D465" s="750" t="s">
        <v>266</v>
      </c>
      <c r="E465" s="749">
        <v>40</v>
      </c>
      <c r="F465" s="751">
        <f t="shared" ref="F465:F470" si="19">+E465*C465</f>
        <v>227.99999999999997</v>
      </c>
    </row>
    <row r="466" spans="1:6" ht="15" x14ac:dyDescent="0.25">
      <c r="A466" s="747"/>
      <c r="B466" s="748" t="s">
        <v>354</v>
      </c>
      <c r="C466" s="749">
        <f>2.7+1.5+1.2</f>
        <v>5.4</v>
      </c>
      <c r="D466" s="750" t="s">
        <v>159</v>
      </c>
      <c r="E466" s="749">
        <v>650</v>
      </c>
      <c r="F466" s="751">
        <f t="shared" si="19"/>
        <v>3510.0000000000005</v>
      </c>
    </row>
    <row r="467" spans="1:6" ht="15" x14ac:dyDescent="0.25">
      <c r="A467" s="747"/>
      <c r="B467" s="748" t="s">
        <v>749</v>
      </c>
      <c r="C467" s="749">
        <f>0.66</f>
        <v>0.66</v>
      </c>
      <c r="D467" s="750" t="s">
        <v>6</v>
      </c>
      <c r="E467" s="749">
        <f>E372</f>
        <v>4714.2</v>
      </c>
      <c r="F467" s="751">
        <f t="shared" si="19"/>
        <v>3111.3719999999998</v>
      </c>
    </row>
    <row r="468" spans="1:6" ht="15" x14ac:dyDescent="0.25">
      <c r="A468" s="747"/>
      <c r="B468" s="748" t="s">
        <v>268</v>
      </c>
      <c r="C468" s="749">
        <f>+C464+C463</f>
        <v>2.8499999999999996</v>
      </c>
      <c r="D468" s="750" t="s">
        <v>17</v>
      </c>
      <c r="E468" s="749">
        <v>260</v>
      </c>
      <c r="F468" s="751">
        <f t="shared" si="19"/>
        <v>740.99999999999989</v>
      </c>
    </row>
    <row r="469" spans="1:6" ht="15" x14ac:dyDescent="0.25">
      <c r="A469" s="747"/>
      <c r="B469" s="748" t="s">
        <v>355</v>
      </c>
      <c r="C469" s="749">
        <v>3.6</v>
      </c>
      <c r="D469" s="750" t="s">
        <v>159</v>
      </c>
      <c r="E469" s="749">
        <v>250</v>
      </c>
      <c r="F469" s="751">
        <f t="shared" si="19"/>
        <v>900</v>
      </c>
    </row>
    <row r="470" spans="1:6" ht="15.6" thickBot="1" x14ac:dyDescent="0.3">
      <c r="A470" s="747"/>
      <c r="B470" s="748" t="s">
        <v>271</v>
      </c>
      <c r="C470" s="749">
        <v>0.1</v>
      </c>
      <c r="D470" s="750" t="s">
        <v>200</v>
      </c>
      <c r="E470" s="749">
        <f>SUM(F463:F469)</f>
        <v>13762.871999999999</v>
      </c>
      <c r="F470" s="751">
        <f t="shared" si="19"/>
        <v>1376.2872</v>
      </c>
    </row>
    <row r="471" spans="1:6" ht="16.8" thickTop="1" thickBot="1" x14ac:dyDescent="0.35">
      <c r="A471" s="760"/>
      <c r="B471" s="761" t="s">
        <v>69</v>
      </c>
      <c r="C471" s="762"/>
      <c r="D471" s="763"/>
      <c r="E471" s="762"/>
      <c r="F471" s="764">
        <f>SUM(F463:F470)/C467</f>
        <v>22938.12</v>
      </c>
    </row>
    <row r="472" spans="1:6" ht="13.8" thickTop="1" x14ac:dyDescent="0.25"/>
  </sheetData>
  <mergeCells count="14">
    <mergeCell ref="B356:F356"/>
    <mergeCell ref="B367:F367"/>
    <mergeCell ref="B378:F378"/>
    <mergeCell ref="B194:F194"/>
    <mergeCell ref="A131:E131"/>
    <mergeCell ref="A280:E280"/>
    <mergeCell ref="B334:F334"/>
    <mergeCell ref="B345:F345"/>
    <mergeCell ref="B462:F462"/>
    <mergeCell ref="B388:F388"/>
    <mergeCell ref="B399:F399"/>
    <mergeCell ref="B410:F410"/>
    <mergeCell ref="B421:F421"/>
    <mergeCell ref="B432:F432"/>
  </mergeCells>
  <pageMargins left="0.7" right="0.7" top="0.75" bottom="0.75" header="0.3" footer="0.3"/>
  <pageSetup paperSize="9"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0"/>
  <sheetViews>
    <sheetView view="pageBreakPreview" zoomScaleNormal="85" zoomScaleSheetLayoutView="100" workbookViewId="0">
      <selection activeCell="H98" sqref="H98"/>
    </sheetView>
  </sheetViews>
  <sheetFormatPr baseColWidth="10" defaultRowHeight="13.2" x14ac:dyDescent="0.25"/>
  <cols>
    <col min="1" max="1" width="5.44140625" style="221" bestFit="1" customWidth="1"/>
    <col min="2" max="2" width="49" style="221" bestFit="1" customWidth="1"/>
    <col min="3" max="3" width="11.5546875" style="221" bestFit="1" customWidth="1"/>
    <col min="4" max="4" width="11.44140625" style="221"/>
    <col min="5" max="5" width="12.44140625" style="221" bestFit="1" customWidth="1"/>
    <col min="6" max="6" width="12.88671875" style="221" bestFit="1" customWidth="1"/>
    <col min="7" max="256" width="11.44140625" style="221"/>
    <col min="257" max="257" width="5.44140625" style="221" bestFit="1" customWidth="1"/>
    <col min="258" max="258" width="49" style="221" bestFit="1" customWidth="1"/>
    <col min="259" max="259" width="11.5546875" style="221" bestFit="1" customWidth="1"/>
    <col min="260" max="260" width="11.44140625" style="221"/>
    <col min="261" max="261" width="12.44140625" style="221" bestFit="1" customWidth="1"/>
    <col min="262" max="262" width="12.88671875" style="221" bestFit="1" customWidth="1"/>
    <col min="263" max="512" width="11.44140625" style="221"/>
    <col min="513" max="513" width="5.44140625" style="221" bestFit="1" customWidth="1"/>
    <col min="514" max="514" width="49" style="221" bestFit="1" customWidth="1"/>
    <col min="515" max="515" width="11.5546875" style="221" bestFit="1" customWidth="1"/>
    <col min="516" max="516" width="11.44140625" style="221"/>
    <col min="517" max="517" width="12.44140625" style="221" bestFit="1" customWidth="1"/>
    <col min="518" max="518" width="12.88671875" style="221" bestFit="1" customWidth="1"/>
    <col min="519" max="768" width="11.44140625" style="221"/>
    <col min="769" max="769" width="5.44140625" style="221" bestFit="1" customWidth="1"/>
    <col min="770" max="770" width="49" style="221" bestFit="1" customWidth="1"/>
    <col min="771" max="771" width="11.5546875" style="221" bestFit="1" customWidth="1"/>
    <col min="772" max="772" width="11.44140625" style="221"/>
    <col min="773" max="773" width="12.44140625" style="221" bestFit="1" customWidth="1"/>
    <col min="774" max="774" width="12.88671875" style="221" bestFit="1" customWidth="1"/>
    <col min="775" max="1024" width="11.44140625" style="221"/>
    <col min="1025" max="1025" width="5.44140625" style="221" bestFit="1" customWidth="1"/>
    <col min="1026" max="1026" width="49" style="221" bestFit="1" customWidth="1"/>
    <col min="1027" max="1027" width="11.5546875" style="221" bestFit="1" customWidth="1"/>
    <col min="1028" max="1028" width="11.44140625" style="221"/>
    <col min="1029" max="1029" width="12.44140625" style="221" bestFit="1" customWidth="1"/>
    <col min="1030" max="1030" width="12.88671875" style="221" bestFit="1" customWidth="1"/>
    <col min="1031" max="1280" width="11.44140625" style="221"/>
    <col min="1281" max="1281" width="5.44140625" style="221" bestFit="1" customWidth="1"/>
    <col min="1282" max="1282" width="49" style="221" bestFit="1" customWidth="1"/>
    <col min="1283" max="1283" width="11.5546875" style="221" bestFit="1" customWidth="1"/>
    <col min="1284" max="1284" width="11.44140625" style="221"/>
    <col min="1285" max="1285" width="12.44140625" style="221" bestFit="1" customWidth="1"/>
    <col min="1286" max="1286" width="12.88671875" style="221" bestFit="1" customWidth="1"/>
    <col min="1287" max="1536" width="11.44140625" style="221"/>
    <col min="1537" max="1537" width="5.44140625" style="221" bestFit="1" customWidth="1"/>
    <col min="1538" max="1538" width="49" style="221" bestFit="1" customWidth="1"/>
    <col min="1539" max="1539" width="11.5546875" style="221" bestFit="1" customWidth="1"/>
    <col min="1540" max="1540" width="11.44140625" style="221"/>
    <col min="1541" max="1541" width="12.44140625" style="221" bestFit="1" customWidth="1"/>
    <col min="1542" max="1542" width="12.88671875" style="221" bestFit="1" customWidth="1"/>
    <col min="1543" max="1792" width="11.44140625" style="221"/>
    <col min="1793" max="1793" width="5.44140625" style="221" bestFit="1" customWidth="1"/>
    <col min="1794" max="1794" width="49" style="221" bestFit="1" customWidth="1"/>
    <col min="1795" max="1795" width="11.5546875" style="221" bestFit="1" customWidth="1"/>
    <col min="1796" max="1796" width="11.44140625" style="221"/>
    <col min="1797" max="1797" width="12.44140625" style="221" bestFit="1" customWidth="1"/>
    <col min="1798" max="1798" width="12.88671875" style="221" bestFit="1" customWidth="1"/>
    <col min="1799" max="2048" width="11.44140625" style="221"/>
    <col min="2049" max="2049" width="5.44140625" style="221" bestFit="1" customWidth="1"/>
    <col min="2050" max="2050" width="49" style="221" bestFit="1" customWidth="1"/>
    <col min="2051" max="2051" width="11.5546875" style="221" bestFit="1" customWidth="1"/>
    <col min="2052" max="2052" width="11.44140625" style="221"/>
    <col min="2053" max="2053" width="12.44140625" style="221" bestFit="1" customWidth="1"/>
    <col min="2054" max="2054" width="12.88671875" style="221" bestFit="1" customWidth="1"/>
    <col min="2055" max="2304" width="11.44140625" style="221"/>
    <col min="2305" max="2305" width="5.44140625" style="221" bestFit="1" customWidth="1"/>
    <col min="2306" max="2306" width="49" style="221" bestFit="1" customWidth="1"/>
    <col min="2307" max="2307" width="11.5546875" style="221" bestFit="1" customWidth="1"/>
    <col min="2308" max="2308" width="11.44140625" style="221"/>
    <col min="2309" max="2309" width="12.44140625" style="221" bestFit="1" customWidth="1"/>
    <col min="2310" max="2310" width="12.88671875" style="221" bestFit="1" customWidth="1"/>
    <col min="2311" max="2560" width="11.44140625" style="221"/>
    <col min="2561" max="2561" width="5.44140625" style="221" bestFit="1" customWidth="1"/>
    <col min="2562" max="2562" width="49" style="221" bestFit="1" customWidth="1"/>
    <col min="2563" max="2563" width="11.5546875" style="221" bestFit="1" customWidth="1"/>
    <col min="2564" max="2564" width="11.44140625" style="221"/>
    <col min="2565" max="2565" width="12.44140625" style="221" bestFit="1" customWidth="1"/>
    <col min="2566" max="2566" width="12.88671875" style="221" bestFit="1" customWidth="1"/>
    <col min="2567" max="2816" width="11.44140625" style="221"/>
    <col min="2817" max="2817" width="5.44140625" style="221" bestFit="1" customWidth="1"/>
    <col min="2818" max="2818" width="49" style="221" bestFit="1" customWidth="1"/>
    <col min="2819" max="2819" width="11.5546875" style="221" bestFit="1" customWidth="1"/>
    <col min="2820" max="2820" width="11.44140625" style="221"/>
    <col min="2821" max="2821" width="12.44140625" style="221" bestFit="1" customWidth="1"/>
    <col min="2822" max="2822" width="12.88671875" style="221" bestFit="1" customWidth="1"/>
    <col min="2823" max="3072" width="11.44140625" style="221"/>
    <col min="3073" max="3073" width="5.44140625" style="221" bestFit="1" customWidth="1"/>
    <col min="3074" max="3074" width="49" style="221" bestFit="1" customWidth="1"/>
    <col min="3075" max="3075" width="11.5546875" style="221" bestFit="1" customWidth="1"/>
    <col min="3076" max="3076" width="11.44140625" style="221"/>
    <col min="3077" max="3077" width="12.44140625" style="221" bestFit="1" customWidth="1"/>
    <col min="3078" max="3078" width="12.88671875" style="221" bestFit="1" customWidth="1"/>
    <col min="3079" max="3328" width="11.44140625" style="221"/>
    <col min="3329" max="3329" width="5.44140625" style="221" bestFit="1" customWidth="1"/>
    <col min="3330" max="3330" width="49" style="221" bestFit="1" customWidth="1"/>
    <col min="3331" max="3331" width="11.5546875" style="221" bestFit="1" customWidth="1"/>
    <col min="3332" max="3332" width="11.44140625" style="221"/>
    <col min="3333" max="3333" width="12.44140625" style="221" bestFit="1" customWidth="1"/>
    <col min="3334" max="3334" width="12.88671875" style="221" bestFit="1" customWidth="1"/>
    <col min="3335" max="3584" width="11.44140625" style="221"/>
    <col min="3585" max="3585" width="5.44140625" style="221" bestFit="1" customWidth="1"/>
    <col min="3586" max="3586" width="49" style="221" bestFit="1" customWidth="1"/>
    <col min="3587" max="3587" width="11.5546875" style="221" bestFit="1" customWidth="1"/>
    <col min="3588" max="3588" width="11.44140625" style="221"/>
    <col min="3589" max="3589" width="12.44140625" style="221" bestFit="1" customWidth="1"/>
    <col min="3590" max="3590" width="12.88671875" style="221" bestFit="1" customWidth="1"/>
    <col min="3591" max="3840" width="11.44140625" style="221"/>
    <col min="3841" max="3841" width="5.44140625" style="221" bestFit="1" customWidth="1"/>
    <col min="3842" max="3842" width="49" style="221" bestFit="1" customWidth="1"/>
    <col min="3843" max="3843" width="11.5546875" style="221" bestFit="1" customWidth="1"/>
    <col min="3844" max="3844" width="11.44140625" style="221"/>
    <col min="3845" max="3845" width="12.44140625" style="221" bestFit="1" customWidth="1"/>
    <col min="3846" max="3846" width="12.88671875" style="221" bestFit="1" customWidth="1"/>
    <col min="3847" max="4096" width="11.44140625" style="221"/>
    <col min="4097" max="4097" width="5.44140625" style="221" bestFit="1" customWidth="1"/>
    <col min="4098" max="4098" width="49" style="221" bestFit="1" customWidth="1"/>
    <col min="4099" max="4099" width="11.5546875" style="221" bestFit="1" customWidth="1"/>
    <col min="4100" max="4100" width="11.44140625" style="221"/>
    <col min="4101" max="4101" width="12.44140625" style="221" bestFit="1" customWidth="1"/>
    <col min="4102" max="4102" width="12.88671875" style="221" bestFit="1" customWidth="1"/>
    <col min="4103" max="4352" width="11.44140625" style="221"/>
    <col min="4353" max="4353" width="5.44140625" style="221" bestFit="1" customWidth="1"/>
    <col min="4354" max="4354" width="49" style="221" bestFit="1" customWidth="1"/>
    <col min="4355" max="4355" width="11.5546875" style="221" bestFit="1" customWidth="1"/>
    <col min="4356" max="4356" width="11.44140625" style="221"/>
    <col min="4357" max="4357" width="12.44140625" style="221" bestFit="1" customWidth="1"/>
    <col min="4358" max="4358" width="12.88671875" style="221" bestFit="1" customWidth="1"/>
    <col min="4359" max="4608" width="11.44140625" style="221"/>
    <col min="4609" max="4609" width="5.44140625" style="221" bestFit="1" customWidth="1"/>
    <col min="4610" max="4610" width="49" style="221" bestFit="1" customWidth="1"/>
    <col min="4611" max="4611" width="11.5546875" style="221" bestFit="1" customWidth="1"/>
    <col min="4612" max="4612" width="11.44140625" style="221"/>
    <col min="4613" max="4613" width="12.44140625" style="221" bestFit="1" customWidth="1"/>
    <col min="4614" max="4614" width="12.88671875" style="221" bestFit="1" customWidth="1"/>
    <col min="4615" max="4864" width="11.44140625" style="221"/>
    <col min="4865" max="4865" width="5.44140625" style="221" bestFit="1" customWidth="1"/>
    <col min="4866" max="4866" width="49" style="221" bestFit="1" customWidth="1"/>
    <col min="4867" max="4867" width="11.5546875" style="221" bestFit="1" customWidth="1"/>
    <col min="4868" max="4868" width="11.44140625" style="221"/>
    <col min="4869" max="4869" width="12.44140625" style="221" bestFit="1" customWidth="1"/>
    <col min="4870" max="4870" width="12.88671875" style="221" bestFit="1" customWidth="1"/>
    <col min="4871" max="5120" width="11.44140625" style="221"/>
    <col min="5121" max="5121" width="5.44140625" style="221" bestFit="1" customWidth="1"/>
    <col min="5122" max="5122" width="49" style="221" bestFit="1" customWidth="1"/>
    <col min="5123" max="5123" width="11.5546875" style="221" bestFit="1" customWidth="1"/>
    <col min="5124" max="5124" width="11.44140625" style="221"/>
    <col min="5125" max="5125" width="12.44140625" style="221" bestFit="1" customWidth="1"/>
    <col min="5126" max="5126" width="12.88671875" style="221" bestFit="1" customWidth="1"/>
    <col min="5127" max="5376" width="11.44140625" style="221"/>
    <col min="5377" max="5377" width="5.44140625" style="221" bestFit="1" customWidth="1"/>
    <col min="5378" max="5378" width="49" style="221" bestFit="1" customWidth="1"/>
    <col min="5379" max="5379" width="11.5546875" style="221" bestFit="1" customWidth="1"/>
    <col min="5380" max="5380" width="11.44140625" style="221"/>
    <col min="5381" max="5381" width="12.44140625" style="221" bestFit="1" customWidth="1"/>
    <col min="5382" max="5382" width="12.88671875" style="221" bestFit="1" customWidth="1"/>
    <col min="5383" max="5632" width="11.44140625" style="221"/>
    <col min="5633" max="5633" width="5.44140625" style="221" bestFit="1" customWidth="1"/>
    <col min="5634" max="5634" width="49" style="221" bestFit="1" customWidth="1"/>
    <col min="5635" max="5635" width="11.5546875" style="221" bestFit="1" customWidth="1"/>
    <col min="5636" max="5636" width="11.44140625" style="221"/>
    <col min="5637" max="5637" width="12.44140625" style="221" bestFit="1" customWidth="1"/>
    <col min="5638" max="5638" width="12.88671875" style="221" bestFit="1" customWidth="1"/>
    <col min="5639" max="5888" width="11.44140625" style="221"/>
    <col min="5889" max="5889" width="5.44140625" style="221" bestFit="1" customWidth="1"/>
    <col min="5890" max="5890" width="49" style="221" bestFit="1" customWidth="1"/>
    <col min="5891" max="5891" width="11.5546875" style="221" bestFit="1" customWidth="1"/>
    <col min="5892" max="5892" width="11.44140625" style="221"/>
    <col min="5893" max="5893" width="12.44140625" style="221" bestFit="1" customWidth="1"/>
    <col min="5894" max="5894" width="12.88671875" style="221" bestFit="1" customWidth="1"/>
    <col min="5895" max="6144" width="11.44140625" style="221"/>
    <col min="6145" max="6145" width="5.44140625" style="221" bestFit="1" customWidth="1"/>
    <col min="6146" max="6146" width="49" style="221" bestFit="1" customWidth="1"/>
    <col min="6147" max="6147" width="11.5546875" style="221" bestFit="1" customWidth="1"/>
    <col min="6148" max="6148" width="11.44140625" style="221"/>
    <col min="6149" max="6149" width="12.44140625" style="221" bestFit="1" customWidth="1"/>
    <col min="6150" max="6150" width="12.88671875" style="221" bestFit="1" customWidth="1"/>
    <col min="6151" max="6400" width="11.44140625" style="221"/>
    <col min="6401" max="6401" width="5.44140625" style="221" bestFit="1" customWidth="1"/>
    <col min="6402" max="6402" width="49" style="221" bestFit="1" customWidth="1"/>
    <col min="6403" max="6403" width="11.5546875" style="221" bestFit="1" customWidth="1"/>
    <col min="6404" max="6404" width="11.44140625" style="221"/>
    <col min="6405" max="6405" width="12.44140625" style="221" bestFit="1" customWidth="1"/>
    <col min="6406" max="6406" width="12.88671875" style="221" bestFit="1" customWidth="1"/>
    <col min="6407" max="6656" width="11.44140625" style="221"/>
    <col min="6657" max="6657" width="5.44140625" style="221" bestFit="1" customWidth="1"/>
    <col min="6658" max="6658" width="49" style="221" bestFit="1" customWidth="1"/>
    <col min="6659" max="6659" width="11.5546875" style="221" bestFit="1" customWidth="1"/>
    <col min="6660" max="6660" width="11.44140625" style="221"/>
    <col min="6661" max="6661" width="12.44140625" style="221" bestFit="1" customWidth="1"/>
    <col min="6662" max="6662" width="12.88671875" style="221" bestFit="1" customWidth="1"/>
    <col min="6663" max="6912" width="11.44140625" style="221"/>
    <col min="6913" max="6913" width="5.44140625" style="221" bestFit="1" customWidth="1"/>
    <col min="6914" max="6914" width="49" style="221" bestFit="1" customWidth="1"/>
    <col min="6915" max="6915" width="11.5546875" style="221" bestFit="1" customWidth="1"/>
    <col min="6916" max="6916" width="11.44140625" style="221"/>
    <col min="6917" max="6917" width="12.44140625" style="221" bestFit="1" customWidth="1"/>
    <col min="6918" max="6918" width="12.88671875" style="221" bestFit="1" customWidth="1"/>
    <col min="6919" max="7168" width="11.44140625" style="221"/>
    <col min="7169" max="7169" width="5.44140625" style="221" bestFit="1" customWidth="1"/>
    <col min="7170" max="7170" width="49" style="221" bestFit="1" customWidth="1"/>
    <col min="7171" max="7171" width="11.5546875" style="221" bestFit="1" customWidth="1"/>
    <col min="7172" max="7172" width="11.44140625" style="221"/>
    <col min="7173" max="7173" width="12.44140625" style="221" bestFit="1" customWidth="1"/>
    <col min="7174" max="7174" width="12.88671875" style="221" bestFit="1" customWidth="1"/>
    <col min="7175" max="7424" width="11.44140625" style="221"/>
    <col min="7425" max="7425" width="5.44140625" style="221" bestFit="1" customWidth="1"/>
    <col min="7426" max="7426" width="49" style="221" bestFit="1" customWidth="1"/>
    <col min="7427" max="7427" width="11.5546875" style="221" bestFit="1" customWidth="1"/>
    <col min="7428" max="7428" width="11.44140625" style="221"/>
    <col min="7429" max="7429" width="12.44140625" style="221" bestFit="1" customWidth="1"/>
    <col min="7430" max="7430" width="12.88671875" style="221" bestFit="1" customWidth="1"/>
    <col min="7431" max="7680" width="11.44140625" style="221"/>
    <col min="7681" max="7681" width="5.44140625" style="221" bestFit="1" customWidth="1"/>
    <col min="7682" max="7682" width="49" style="221" bestFit="1" customWidth="1"/>
    <col min="7683" max="7683" width="11.5546875" style="221" bestFit="1" customWidth="1"/>
    <col min="7684" max="7684" width="11.44140625" style="221"/>
    <col min="7685" max="7685" width="12.44140625" style="221" bestFit="1" customWidth="1"/>
    <col min="7686" max="7686" width="12.88671875" style="221" bestFit="1" customWidth="1"/>
    <col min="7687" max="7936" width="11.44140625" style="221"/>
    <col min="7937" max="7937" width="5.44140625" style="221" bestFit="1" customWidth="1"/>
    <col min="7938" max="7938" width="49" style="221" bestFit="1" customWidth="1"/>
    <col min="7939" max="7939" width="11.5546875" style="221" bestFit="1" customWidth="1"/>
    <col min="7940" max="7940" width="11.44140625" style="221"/>
    <col min="7941" max="7941" width="12.44140625" style="221" bestFit="1" customWidth="1"/>
    <col min="7942" max="7942" width="12.88671875" style="221" bestFit="1" customWidth="1"/>
    <col min="7943" max="8192" width="11.44140625" style="221"/>
    <col min="8193" max="8193" width="5.44140625" style="221" bestFit="1" customWidth="1"/>
    <col min="8194" max="8194" width="49" style="221" bestFit="1" customWidth="1"/>
    <col min="8195" max="8195" width="11.5546875" style="221" bestFit="1" customWidth="1"/>
    <col min="8196" max="8196" width="11.44140625" style="221"/>
    <col min="8197" max="8197" width="12.44140625" style="221" bestFit="1" customWidth="1"/>
    <col min="8198" max="8198" width="12.88671875" style="221" bestFit="1" customWidth="1"/>
    <col min="8199" max="8448" width="11.44140625" style="221"/>
    <col min="8449" max="8449" width="5.44140625" style="221" bestFit="1" customWidth="1"/>
    <col min="8450" max="8450" width="49" style="221" bestFit="1" customWidth="1"/>
    <col min="8451" max="8451" width="11.5546875" style="221" bestFit="1" customWidth="1"/>
    <col min="8452" max="8452" width="11.44140625" style="221"/>
    <col min="8453" max="8453" width="12.44140625" style="221" bestFit="1" customWidth="1"/>
    <col min="8454" max="8454" width="12.88671875" style="221" bestFit="1" customWidth="1"/>
    <col min="8455" max="8704" width="11.44140625" style="221"/>
    <col min="8705" max="8705" width="5.44140625" style="221" bestFit="1" customWidth="1"/>
    <col min="8706" max="8706" width="49" style="221" bestFit="1" customWidth="1"/>
    <col min="8707" max="8707" width="11.5546875" style="221" bestFit="1" customWidth="1"/>
    <col min="8708" max="8708" width="11.44140625" style="221"/>
    <col min="8709" max="8709" width="12.44140625" style="221" bestFit="1" customWidth="1"/>
    <col min="8710" max="8710" width="12.88671875" style="221" bestFit="1" customWidth="1"/>
    <col min="8711" max="8960" width="11.44140625" style="221"/>
    <col min="8961" max="8961" width="5.44140625" style="221" bestFit="1" customWidth="1"/>
    <col min="8962" max="8962" width="49" style="221" bestFit="1" customWidth="1"/>
    <col min="8963" max="8963" width="11.5546875" style="221" bestFit="1" customWidth="1"/>
    <col min="8964" max="8964" width="11.44140625" style="221"/>
    <col min="8965" max="8965" width="12.44140625" style="221" bestFit="1" customWidth="1"/>
    <col min="8966" max="8966" width="12.88671875" style="221" bestFit="1" customWidth="1"/>
    <col min="8967" max="9216" width="11.44140625" style="221"/>
    <col min="9217" max="9217" width="5.44140625" style="221" bestFit="1" customWidth="1"/>
    <col min="9218" max="9218" width="49" style="221" bestFit="1" customWidth="1"/>
    <col min="9219" max="9219" width="11.5546875" style="221" bestFit="1" customWidth="1"/>
    <col min="9220" max="9220" width="11.44140625" style="221"/>
    <col min="9221" max="9221" width="12.44140625" style="221" bestFit="1" customWidth="1"/>
    <col min="9222" max="9222" width="12.88671875" style="221" bestFit="1" customWidth="1"/>
    <col min="9223" max="9472" width="11.44140625" style="221"/>
    <col min="9473" max="9473" width="5.44140625" style="221" bestFit="1" customWidth="1"/>
    <col min="9474" max="9474" width="49" style="221" bestFit="1" customWidth="1"/>
    <col min="9475" max="9475" width="11.5546875" style="221" bestFit="1" customWidth="1"/>
    <col min="9476" max="9476" width="11.44140625" style="221"/>
    <col min="9477" max="9477" width="12.44140625" style="221" bestFit="1" customWidth="1"/>
    <col min="9478" max="9478" width="12.88671875" style="221" bestFit="1" customWidth="1"/>
    <col min="9479" max="9728" width="11.44140625" style="221"/>
    <col min="9729" max="9729" width="5.44140625" style="221" bestFit="1" customWidth="1"/>
    <col min="9730" max="9730" width="49" style="221" bestFit="1" customWidth="1"/>
    <col min="9731" max="9731" width="11.5546875" style="221" bestFit="1" customWidth="1"/>
    <col min="9732" max="9732" width="11.44140625" style="221"/>
    <col min="9733" max="9733" width="12.44140625" style="221" bestFit="1" customWidth="1"/>
    <col min="9734" max="9734" width="12.88671875" style="221" bestFit="1" customWidth="1"/>
    <col min="9735" max="9984" width="11.44140625" style="221"/>
    <col min="9985" max="9985" width="5.44140625" style="221" bestFit="1" customWidth="1"/>
    <col min="9986" max="9986" width="49" style="221" bestFit="1" customWidth="1"/>
    <col min="9987" max="9987" width="11.5546875" style="221" bestFit="1" customWidth="1"/>
    <col min="9988" max="9988" width="11.44140625" style="221"/>
    <col min="9989" max="9989" width="12.44140625" style="221" bestFit="1" customWidth="1"/>
    <col min="9990" max="9990" width="12.88671875" style="221" bestFit="1" customWidth="1"/>
    <col min="9991" max="10240" width="11.44140625" style="221"/>
    <col min="10241" max="10241" width="5.44140625" style="221" bestFit="1" customWidth="1"/>
    <col min="10242" max="10242" width="49" style="221" bestFit="1" customWidth="1"/>
    <col min="10243" max="10243" width="11.5546875" style="221" bestFit="1" customWidth="1"/>
    <col min="10244" max="10244" width="11.44140625" style="221"/>
    <col min="10245" max="10245" width="12.44140625" style="221" bestFit="1" customWidth="1"/>
    <col min="10246" max="10246" width="12.88671875" style="221" bestFit="1" customWidth="1"/>
    <col min="10247" max="10496" width="11.44140625" style="221"/>
    <col min="10497" max="10497" width="5.44140625" style="221" bestFit="1" customWidth="1"/>
    <col min="10498" max="10498" width="49" style="221" bestFit="1" customWidth="1"/>
    <col min="10499" max="10499" width="11.5546875" style="221" bestFit="1" customWidth="1"/>
    <col min="10500" max="10500" width="11.44140625" style="221"/>
    <col min="10501" max="10501" width="12.44140625" style="221" bestFit="1" customWidth="1"/>
    <col min="10502" max="10502" width="12.88671875" style="221" bestFit="1" customWidth="1"/>
    <col min="10503" max="10752" width="11.44140625" style="221"/>
    <col min="10753" max="10753" width="5.44140625" style="221" bestFit="1" customWidth="1"/>
    <col min="10754" max="10754" width="49" style="221" bestFit="1" customWidth="1"/>
    <col min="10755" max="10755" width="11.5546875" style="221" bestFit="1" customWidth="1"/>
    <col min="10756" max="10756" width="11.44140625" style="221"/>
    <col min="10757" max="10757" width="12.44140625" style="221" bestFit="1" customWidth="1"/>
    <col min="10758" max="10758" width="12.88671875" style="221" bestFit="1" customWidth="1"/>
    <col min="10759" max="11008" width="11.44140625" style="221"/>
    <col min="11009" max="11009" width="5.44140625" style="221" bestFit="1" customWidth="1"/>
    <col min="11010" max="11010" width="49" style="221" bestFit="1" customWidth="1"/>
    <col min="11011" max="11011" width="11.5546875" style="221" bestFit="1" customWidth="1"/>
    <col min="11012" max="11012" width="11.44140625" style="221"/>
    <col min="11013" max="11013" width="12.44140625" style="221" bestFit="1" customWidth="1"/>
    <col min="11014" max="11014" width="12.88671875" style="221" bestFit="1" customWidth="1"/>
    <col min="11015" max="11264" width="11.44140625" style="221"/>
    <col min="11265" max="11265" width="5.44140625" style="221" bestFit="1" customWidth="1"/>
    <col min="11266" max="11266" width="49" style="221" bestFit="1" customWidth="1"/>
    <col min="11267" max="11267" width="11.5546875" style="221" bestFit="1" customWidth="1"/>
    <col min="11268" max="11268" width="11.44140625" style="221"/>
    <col min="11269" max="11269" width="12.44140625" style="221" bestFit="1" customWidth="1"/>
    <col min="11270" max="11270" width="12.88671875" style="221" bestFit="1" customWidth="1"/>
    <col min="11271" max="11520" width="11.44140625" style="221"/>
    <col min="11521" max="11521" width="5.44140625" style="221" bestFit="1" customWidth="1"/>
    <col min="11522" max="11522" width="49" style="221" bestFit="1" customWidth="1"/>
    <col min="11523" max="11523" width="11.5546875" style="221" bestFit="1" customWidth="1"/>
    <col min="11524" max="11524" width="11.44140625" style="221"/>
    <col min="11525" max="11525" width="12.44140625" style="221" bestFit="1" customWidth="1"/>
    <col min="11526" max="11526" width="12.88671875" style="221" bestFit="1" customWidth="1"/>
    <col min="11527" max="11776" width="11.44140625" style="221"/>
    <col min="11777" max="11777" width="5.44140625" style="221" bestFit="1" customWidth="1"/>
    <col min="11778" max="11778" width="49" style="221" bestFit="1" customWidth="1"/>
    <col min="11779" max="11779" width="11.5546875" style="221" bestFit="1" customWidth="1"/>
    <col min="11780" max="11780" width="11.44140625" style="221"/>
    <col min="11781" max="11781" width="12.44140625" style="221" bestFit="1" customWidth="1"/>
    <col min="11782" max="11782" width="12.88671875" style="221" bestFit="1" customWidth="1"/>
    <col min="11783" max="12032" width="11.44140625" style="221"/>
    <col min="12033" max="12033" width="5.44140625" style="221" bestFit="1" customWidth="1"/>
    <col min="12034" max="12034" width="49" style="221" bestFit="1" customWidth="1"/>
    <col min="12035" max="12035" width="11.5546875" style="221" bestFit="1" customWidth="1"/>
    <col min="12036" max="12036" width="11.44140625" style="221"/>
    <col min="12037" max="12037" width="12.44140625" style="221" bestFit="1" customWidth="1"/>
    <col min="12038" max="12038" width="12.88671875" style="221" bestFit="1" customWidth="1"/>
    <col min="12039" max="12288" width="11.44140625" style="221"/>
    <col min="12289" max="12289" width="5.44140625" style="221" bestFit="1" customWidth="1"/>
    <col min="12290" max="12290" width="49" style="221" bestFit="1" customWidth="1"/>
    <col min="12291" max="12291" width="11.5546875" style="221" bestFit="1" customWidth="1"/>
    <col min="12292" max="12292" width="11.44140625" style="221"/>
    <col min="12293" max="12293" width="12.44140625" style="221" bestFit="1" customWidth="1"/>
    <col min="12294" max="12294" width="12.88671875" style="221" bestFit="1" customWidth="1"/>
    <col min="12295" max="12544" width="11.44140625" style="221"/>
    <col min="12545" max="12545" width="5.44140625" style="221" bestFit="1" customWidth="1"/>
    <col min="12546" max="12546" width="49" style="221" bestFit="1" customWidth="1"/>
    <col min="12547" max="12547" width="11.5546875" style="221" bestFit="1" customWidth="1"/>
    <col min="12548" max="12548" width="11.44140625" style="221"/>
    <col min="12549" max="12549" width="12.44140625" style="221" bestFit="1" customWidth="1"/>
    <col min="12550" max="12550" width="12.88671875" style="221" bestFit="1" customWidth="1"/>
    <col min="12551" max="12800" width="11.44140625" style="221"/>
    <col min="12801" max="12801" width="5.44140625" style="221" bestFit="1" customWidth="1"/>
    <col min="12802" max="12802" width="49" style="221" bestFit="1" customWidth="1"/>
    <col min="12803" max="12803" width="11.5546875" style="221" bestFit="1" customWidth="1"/>
    <col min="12804" max="12804" width="11.44140625" style="221"/>
    <col min="12805" max="12805" width="12.44140625" style="221" bestFit="1" customWidth="1"/>
    <col min="12806" max="12806" width="12.88671875" style="221" bestFit="1" customWidth="1"/>
    <col min="12807" max="13056" width="11.44140625" style="221"/>
    <col min="13057" max="13057" width="5.44140625" style="221" bestFit="1" customWidth="1"/>
    <col min="13058" max="13058" width="49" style="221" bestFit="1" customWidth="1"/>
    <col min="13059" max="13059" width="11.5546875" style="221" bestFit="1" customWidth="1"/>
    <col min="13060" max="13060" width="11.44140625" style="221"/>
    <col min="13061" max="13061" width="12.44140625" style="221" bestFit="1" customWidth="1"/>
    <col min="13062" max="13062" width="12.88671875" style="221" bestFit="1" customWidth="1"/>
    <col min="13063" max="13312" width="11.44140625" style="221"/>
    <col min="13313" max="13313" width="5.44140625" style="221" bestFit="1" customWidth="1"/>
    <col min="13314" max="13314" width="49" style="221" bestFit="1" customWidth="1"/>
    <col min="13315" max="13315" width="11.5546875" style="221" bestFit="1" customWidth="1"/>
    <col min="13316" max="13316" width="11.44140625" style="221"/>
    <col min="13317" max="13317" width="12.44140625" style="221" bestFit="1" customWidth="1"/>
    <col min="13318" max="13318" width="12.88671875" style="221" bestFit="1" customWidth="1"/>
    <col min="13319" max="13568" width="11.44140625" style="221"/>
    <col min="13569" max="13569" width="5.44140625" style="221" bestFit="1" customWidth="1"/>
    <col min="13570" max="13570" width="49" style="221" bestFit="1" customWidth="1"/>
    <col min="13571" max="13571" width="11.5546875" style="221" bestFit="1" customWidth="1"/>
    <col min="13572" max="13572" width="11.44140625" style="221"/>
    <col min="13573" max="13573" width="12.44140625" style="221" bestFit="1" customWidth="1"/>
    <col min="13574" max="13574" width="12.88671875" style="221" bestFit="1" customWidth="1"/>
    <col min="13575" max="13824" width="11.44140625" style="221"/>
    <col min="13825" max="13825" width="5.44140625" style="221" bestFit="1" customWidth="1"/>
    <col min="13826" max="13826" width="49" style="221" bestFit="1" customWidth="1"/>
    <col min="13827" max="13827" width="11.5546875" style="221" bestFit="1" customWidth="1"/>
    <col min="13828" max="13828" width="11.44140625" style="221"/>
    <col min="13829" max="13829" width="12.44140625" style="221" bestFit="1" customWidth="1"/>
    <col min="13830" max="13830" width="12.88671875" style="221" bestFit="1" customWidth="1"/>
    <col min="13831" max="14080" width="11.44140625" style="221"/>
    <col min="14081" max="14081" width="5.44140625" style="221" bestFit="1" customWidth="1"/>
    <col min="14082" max="14082" width="49" style="221" bestFit="1" customWidth="1"/>
    <col min="14083" max="14083" width="11.5546875" style="221" bestFit="1" customWidth="1"/>
    <col min="14084" max="14084" width="11.44140625" style="221"/>
    <col min="14085" max="14085" width="12.44140625" style="221" bestFit="1" customWidth="1"/>
    <col min="14086" max="14086" width="12.88671875" style="221" bestFit="1" customWidth="1"/>
    <col min="14087" max="14336" width="11.44140625" style="221"/>
    <col min="14337" max="14337" width="5.44140625" style="221" bestFit="1" customWidth="1"/>
    <col min="14338" max="14338" width="49" style="221" bestFit="1" customWidth="1"/>
    <col min="14339" max="14339" width="11.5546875" style="221" bestFit="1" customWidth="1"/>
    <col min="14340" max="14340" width="11.44140625" style="221"/>
    <col min="14341" max="14341" width="12.44140625" style="221" bestFit="1" customWidth="1"/>
    <col min="14342" max="14342" width="12.88671875" style="221" bestFit="1" customWidth="1"/>
    <col min="14343" max="14592" width="11.44140625" style="221"/>
    <col min="14593" max="14593" width="5.44140625" style="221" bestFit="1" customWidth="1"/>
    <col min="14594" max="14594" width="49" style="221" bestFit="1" customWidth="1"/>
    <col min="14595" max="14595" width="11.5546875" style="221" bestFit="1" customWidth="1"/>
    <col min="14596" max="14596" width="11.44140625" style="221"/>
    <col min="14597" max="14597" width="12.44140625" style="221" bestFit="1" customWidth="1"/>
    <col min="14598" max="14598" width="12.88671875" style="221" bestFit="1" customWidth="1"/>
    <col min="14599" max="14848" width="11.44140625" style="221"/>
    <col min="14849" max="14849" width="5.44140625" style="221" bestFit="1" customWidth="1"/>
    <col min="14850" max="14850" width="49" style="221" bestFit="1" customWidth="1"/>
    <col min="14851" max="14851" width="11.5546875" style="221" bestFit="1" customWidth="1"/>
    <col min="14852" max="14852" width="11.44140625" style="221"/>
    <col min="14853" max="14853" width="12.44140625" style="221" bestFit="1" customWidth="1"/>
    <col min="14854" max="14854" width="12.88671875" style="221" bestFit="1" customWidth="1"/>
    <col min="14855" max="15104" width="11.44140625" style="221"/>
    <col min="15105" max="15105" width="5.44140625" style="221" bestFit="1" customWidth="1"/>
    <col min="15106" max="15106" width="49" style="221" bestFit="1" customWidth="1"/>
    <col min="15107" max="15107" width="11.5546875" style="221" bestFit="1" customWidth="1"/>
    <col min="15108" max="15108" width="11.44140625" style="221"/>
    <col min="15109" max="15109" width="12.44140625" style="221" bestFit="1" customWidth="1"/>
    <col min="15110" max="15110" width="12.88671875" style="221" bestFit="1" customWidth="1"/>
    <col min="15111" max="15360" width="11.44140625" style="221"/>
    <col min="15361" max="15361" width="5.44140625" style="221" bestFit="1" customWidth="1"/>
    <col min="15362" max="15362" width="49" style="221" bestFit="1" customWidth="1"/>
    <col min="15363" max="15363" width="11.5546875" style="221" bestFit="1" customWidth="1"/>
    <col min="15364" max="15364" width="11.44140625" style="221"/>
    <col min="15365" max="15365" width="12.44140625" style="221" bestFit="1" customWidth="1"/>
    <col min="15366" max="15366" width="12.88671875" style="221" bestFit="1" customWidth="1"/>
    <col min="15367" max="15616" width="11.44140625" style="221"/>
    <col min="15617" max="15617" width="5.44140625" style="221" bestFit="1" customWidth="1"/>
    <col min="15618" max="15618" width="49" style="221" bestFit="1" customWidth="1"/>
    <col min="15619" max="15619" width="11.5546875" style="221" bestFit="1" customWidth="1"/>
    <col min="15620" max="15620" width="11.44140625" style="221"/>
    <col min="15621" max="15621" width="12.44140625" style="221" bestFit="1" customWidth="1"/>
    <col min="15622" max="15622" width="12.88671875" style="221" bestFit="1" customWidth="1"/>
    <col min="15623" max="15872" width="11.44140625" style="221"/>
    <col min="15873" max="15873" width="5.44140625" style="221" bestFit="1" customWidth="1"/>
    <col min="15874" max="15874" width="49" style="221" bestFit="1" customWidth="1"/>
    <col min="15875" max="15875" width="11.5546875" style="221" bestFit="1" customWidth="1"/>
    <col min="15876" max="15876" width="11.44140625" style="221"/>
    <col min="15877" max="15877" width="12.44140625" style="221" bestFit="1" customWidth="1"/>
    <col min="15878" max="15878" width="12.88671875" style="221" bestFit="1" customWidth="1"/>
    <col min="15879" max="16128" width="11.44140625" style="221"/>
    <col min="16129" max="16129" width="5.44140625" style="221" bestFit="1" customWidth="1"/>
    <col min="16130" max="16130" width="49" style="221" bestFit="1" customWidth="1"/>
    <col min="16131" max="16131" width="11.5546875" style="221" bestFit="1" customWidth="1"/>
    <col min="16132" max="16132" width="11.44140625" style="221"/>
    <col min="16133" max="16133" width="12.44140625" style="221" bestFit="1" customWidth="1"/>
    <col min="16134" max="16134" width="12.88671875" style="221" bestFit="1" customWidth="1"/>
    <col min="16135" max="16384" width="11.44140625" style="221"/>
  </cols>
  <sheetData>
    <row r="2" spans="1:6" ht="15.6" x14ac:dyDescent="0.25">
      <c r="A2" s="896" t="s">
        <v>445</v>
      </c>
      <c r="B2" s="897"/>
      <c r="C2" s="897"/>
      <c r="D2" s="897"/>
      <c r="E2" s="897"/>
      <c r="F2" s="898"/>
    </row>
    <row r="4" spans="1:6" ht="15.6" x14ac:dyDescent="0.25">
      <c r="A4" s="127"/>
      <c r="B4" s="128" t="s">
        <v>446</v>
      </c>
      <c r="C4" s="129"/>
      <c r="D4" s="130"/>
      <c r="E4" s="131"/>
      <c r="F4" s="132"/>
    </row>
    <row r="5" spans="1:6" ht="15.6" x14ac:dyDescent="0.3">
      <c r="A5" s="100" t="s">
        <v>29</v>
      </c>
      <c r="B5" s="101" t="s">
        <v>30</v>
      </c>
      <c r="C5" s="102" t="s">
        <v>2</v>
      </c>
      <c r="D5" s="103" t="s">
        <v>1</v>
      </c>
      <c r="E5" s="104" t="s">
        <v>3</v>
      </c>
      <c r="F5" s="105" t="s">
        <v>31</v>
      </c>
    </row>
    <row r="6" spans="1:6" ht="15" x14ac:dyDescent="0.25">
      <c r="A6" s="14"/>
      <c r="B6" s="133" t="s">
        <v>23</v>
      </c>
      <c r="C6" s="16" t="s">
        <v>23</v>
      </c>
      <c r="D6" s="84"/>
      <c r="E6" s="18"/>
      <c r="F6" s="19"/>
    </row>
    <row r="7" spans="1:6" ht="15" x14ac:dyDescent="0.25">
      <c r="A7" s="14" t="s">
        <v>32</v>
      </c>
      <c r="B7" s="133" t="s">
        <v>91</v>
      </c>
      <c r="C7" s="16">
        <v>1.1000000000000001</v>
      </c>
      <c r="D7" s="84" t="s">
        <v>6</v>
      </c>
      <c r="E7" s="18" t="e">
        <f>#REF!</f>
        <v>#REF!</v>
      </c>
      <c r="F7" s="19" t="e">
        <f>ROUND(E7*C7,2)</f>
        <v>#REF!</v>
      </c>
    </row>
    <row r="8" spans="1:6" ht="15" x14ac:dyDescent="0.25">
      <c r="A8" s="14" t="s">
        <v>35</v>
      </c>
      <c r="B8" s="133" t="s">
        <v>16</v>
      </c>
      <c r="C8" s="16">
        <v>0.9</v>
      </c>
      <c r="D8" s="84" t="s">
        <v>92</v>
      </c>
      <c r="E8" s="18">
        <v>2350</v>
      </c>
      <c r="F8" s="19">
        <f>ROUND(C8*E8,2)</f>
        <v>2115</v>
      </c>
    </row>
    <row r="9" spans="1:6" ht="15" x14ac:dyDescent="0.25">
      <c r="A9" s="14" t="s">
        <v>38</v>
      </c>
      <c r="B9" s="133" t="s">
        <v>93</v>
      </c>
      <c r="C9" s="16">
        <f>C8*2</f>
        <v>1.8</v>
      </c>
      <c r="D9" s="84" t="s">
        <v>94</v>
      </c>
      <c r="E9" s="18">
        <v>55</v>
      </c>
      <c r="F9" s="19">
        <f>ROUND(C9*E9,2)</f>
        <v>99</v>
      </c>
    </row>
    <row r="10" spans="1:6" ht="15" x14ac:dyDescent="0.25">
      <c r="A10" s="14" t="s">
        <v>39</v>
      </c>
      <c r="B10" s="133" t="s">
        <v>95</v>
      </c>
      <c r="C10" s="16">
        <f>+C8</f>
        <v>0.9</v>
      </c>
      <c r="D10" s="84" t="s">
        <v>92</v>
      </c>
      <c r="E10" s="18">
        <v>250</v>
      </c>
      <c r="F10" s="19">
        <f>ROUND(C10*E10,2)</f>
        <v>225</v>
      </c>
    </row>
    <row r="11" spans="1:6" ht="15" x14ac:dyDescent="0.25">
      <c r="A11" s="14" t="s">
        <v>41</v>
      </c>
      <c r="B11" s="133" t="s">
        <v>96</v>
      </c>
      <c r="C11" s="16">
        <v>10</v>
      </c>
      <c r="D11" s="84" t="s">
        <v>5</v>
      </c>
      <c r="E11" s="18">
        <v>375</v>
      </c>
      <c r="F11" s="19">
        <f>ROUND(C11*E11,2)</f>
        <v>3750</v>
      </c>
    </row>
    <row r="12" spans="1:6" ht="15.6" thickBot="1" x14ac:dyDescent="0.3">
      <c r="A12" s="14"/>
      <c r="B12" s="133"/>
      <c r="C12" s="16"/>
      <c r="D12" s="84"/>
      <c r="E12" s="18"/>
      <c r="F12" s="19"/>
    </row>
    <row r="13" spans="1:6" ht="16.8" thickTop="1" thickBot="1" x14ac:dyDescent="0.35">
      <c r="A13" s="32"/>
      <c r="B13" s="33" t="s">
        <v>69</v>
      </c>
      <c r="C13" s="34"/>
      <c r="D13" s="35"/>
      <c r="E13" s="36"/>
      <c r="F13" s="37" t="e">
        <f>SUM(F7:F12)</f>
        <v>#REF!</v>
      </c>
    </row>
    <row r="14" spans="1:6" ht="13.8" thickTop="1" x14ac:dyDescent="0.25"/>
    <row r="15" spans="1:6" ht="15.6" x14ac:dyDescent="0.25">
      <c r="A15" s="127"/>
      <c r="B15" s="128" t="s">
        <v>447</v>
      </c>
      <c r="C15" s="129"/>
      <c r="D15" s="130"/>
      <c r="E15" s="131"/>
      <c r="F15" s="132"/>
    </row>
    <row r="16" spans="1:6" ht="15.6" x14ac:dyDescent="0.3">
      <c r="A16" s="100" t="s">
        <v>29</v>
      </c>
      <c r="B16" s="101" t="s">
        <v>30</v>
      </c>
      <c r="C16" s="102" t="s">
        <v>2</v>
      </c>
      <c r="D16" s="103" t="s">
        <v>1</v>
      </c>
      <c r="E16" s="104" t="s">
        <v>3</v>
      </c>
      <c r="F16" s="105" t="s">
        <v>31</v>
      </c>
    </row>
    <row r="17" spans="1:6" ht="15" x14ac:dyDescent="0.25">
      <c r="A17" s="14" t="s">
        <v>32</v>
      </c>
      <c r="B17" s="133" t="s">
        <v>448</v>
      </c>
      <c r="C17" s="16">
        <v>1.1000000000000001</v>
      </c>
      <c r="D17" s="84" t="s">
        <v>75</v>
      </c>
      <c r="E17" s="18" t="e">
        <f>E7</f>
        <v>#REF!</v>
      </c>
      <c r="F17" s="19" t="e">
        <f>+E17*C17</f>
        <v>#REF!</v>
      </c>
    </row>
    <row r="18" spans="1:6" ht="15" x14ac:dyDescent="0.25">
      <c r="A18" s="14" t="s">
        <v>35</v>
      </c>
      <c r="B18" s="133" t="s">
        <v>16</v>
      </c>
      <c r="C18" s="16">
        <v>3.59</v>
      </c>
      <c r="D18" s="84" t="s">
        <v>17</v>
      </c>
      <c r="E18" s="18">
        <v>2350</v>
      </c>
      <c r="F18" s="19">
        <f>+E18*C18</f>
        <v>8436.5</v>
      </c>
    </row>
    <row r="19" spans="1:6" ht="15" x14ac:dyDescent="0.25">
      <c r="A19" s="14" t="s">
        <v>38</v>
      </c>
      <c r="B19" s="133" t="s">
        <v>97</v>
      </c>
      <c r="C19" s="16">
        <f>+C18*2</f>
        <v>7.18</v>
      </c>
      <c r="D19" s="84" t="s">
        <v>98</v>
      </c>
      <c r="E19" s="18">
        <v>55</v>
      </c>
      <c r="F19" s="19">
        <f>+E19*C19</f>
        <v>394.9</v>
      </c>
    </row>
    <row r="20" spans="1:6" ht="15" x14ac:dyDescent="0.25">
      <c r="A20" s="14" t="s">
        <v>39</v>
      </c>
      <c r="B20" s="133" t="s">
        <v>449</v>
      </c>
      <c r="C20" s="16">
        <f>+C18</f>
        <v>3.59</v>
      </c>
      <c r="D20" s="84" t="s">
        <v>17</v>
      </c>
      <c r="E20" s="18">
        <v>250</v>
      </c>
      <c r="F20" s="19">
        <f>+E20*C20</f>
        <v>897.5</v>
      </c>
    </row>
    <row r="21" spans="1:6" ht="15" x14ac:dyDescent="0.25">
      <c r="A21" s="14" t="s">
        <v>41</v>
      </c>
      <c r="B21" s="341" t="s">
        <v>450</v>
      </c>
      <c r="C21" s="16">
        <v>5</v>
      </c>
      <c r="D21" s="84" t="s">
        <v>5</v>
      </c>
      <c r="E21" s="18">
        <v>275</v>
      </c>
      <c r="F21" s="19">
        <f>ROUND(E21*C21,2)</f>
        <v>1375</v>
      </c>
    </row>
    <row r="22" spans="1:6" ht="15.6" thickBot="1" x14ac:dyDescent="0.3">
      <c r="A22" s="14"/>
      <c r="B22" s="133"/>
      <c r="C22" s="16"/>
      <c r="D22" s="84"/>
      <c r="E22" s="18"/>
      <c r="F22" s="19"/>
    </row>
    <row r="23" spans="1:6" ht="16.8" thickTop="1" thickBot="1" x14ac:dyDescent="0.35">
      <c r="A23" s="32"/>
      <c r="B23" s="33" t="s">
        <v>69</v>
      </c>
      <c r="C23" s="34"/>
      <c r="D23" s="35"/>
      <c r="E23" s="36"/>
      <c r="F23" s="37" t="e">
        <f>SUM(F17:F22)</f>
        <v>#REF!</v>
      </c>
    </row>
    <row r="24" spans="1:6" ht="13.8" thickTop="1" x14ac:dyDescent="0.25"/>
    <row r="25" spans="1:6" ht="15.6" x14ac:dyDescent="0.25">
      <c r="A25" s="127"/>
      <c r="B25" s="128" t="s">
        <v>451</v>
      </c>
      <c r="C25" s="129"/>
      <c r="D25" s="130"/>
      <c r="E25" s="131"/>
      <c r="F25" s="132"/>
    </row>
    <row r="26" spans="1:6" ht="15.6" x14ac:dyDescent="0.3">
      <c r="A26" s="100" t="s">
        <v>29</v>
      </c>
      <c r="B26" s="101" t="s">
        <v>30</v>
      </c>
      <c r="C26" s="102" t="s">
        <v>2</v>
      </c>
      <c r="D26" s="103" t="s">
        <v>1</v>
      </c>
      <c r="E26" s="104" t="s">
        <v>3</v>
      </c>
      <c r="F26" s="105" t="s">
        <v>31</v>
      </c>
    </row>
    <row r="27" spans="1:6" ht="15" x14ac:dyDescent="0.25">
      <c r="A27" s="14" t="s">
        <v>32</v>
      </c>
      <c r="B27" s="133" t="s">
        <v>448</v>
      </c>
      <c r="C27" s="16">
        <v>1.1000000000000001</v>
      </c>
      <c r="D27" s="84" t="s">
        <v>75</v>
      </c>
      <c r="E27" s="18" t="e">
        <f>#REF!</f>
        <v>#REF!</v>
      </c>
      <c r="F27" s="19" t="e">
        <f>+E27*C27</f>
        <v>#REF!</v>
      </c>
    </row>
    <row r="28" spans="1:6" ht="15" x14ac:dyDescent="0.25">
      <c r="A28" s="14" t="s">
        <v>35</v>
      </c>
      <c r="B28" s="133" t="s">
        <v>16</v>
      </c>
      <c r="C28" s="16">
        <v>3.4</v>
      </c>
      <c r="D28" s="84" t="s">
        <v>17</v>
      </c>
      <c r="E28" s="18">
        <v>2350</v>
      </c>
      <c r="F28" s="19">
        <f>+E28*C28</f>
        <v>7990</v>
      </c>
    </row>
    <row r="29" spans="1:6" ht="15" x14ac:dyDescent="0.25">
      <c r="A29" s="14" t="s">
        <v>38</v>
      </c>
      <c r="B29" s="133" t="s">
        <v>97</v>
      </c>
      <c r="C29" s="16">
        <f>+C28*2</f>
        <v>6.8</v>
      </c>
      <c r="D29" s="84" t="s">
        <v>98</v>
      </c>
      <c r="E29" s="18">
        <v>55</v>
      </c>
      <c r="F29" s="19">
        <f>+E29*C29</f>
        <v>374</v>
      </c>
    </row>
    <row r="30" spans="1:6" ht="15" x14ac:dyDescent="0.25">
      <c r="A30" s="14" t="s">
        <v>39</v>
      </c>
      <c r="B30" s="133" t="s">
        <v>449</v>
      </c>
      <c r="C30" s="16">
        <f>+C28</f>
        <v>3.4</v>
      </c>
      <c r="D30" s="84" t="s">
        <v>17</v>
      </c>
      <c r="E30" s="18">
        <v>250</v>
      </c>
      <c r="F30" s="19">
        <f>+E30*C30</f>
        <v>850</v>
      </c>
    </row>
    <row r="31" spans="1:6" ht="15" x14ac:dyDescent="0.25">
      <c r="A31" s="14" t="s">
        <v>41</v>
      </c>
      <c r="B31" s="341" t="s">
        <v>450</v>
      </c>
      <c r="C31" s="16">
        <v>5</v>
      </c>
      <c r="D31" s="84" t="s">
        <v>5</v>
      </c>
      <c r="E31" s="18">
        <v>275</v>
      </c>
      <c r="F31" s="19">
        <f>ROUND(E31*C31,2)</f>
        <v>1375</v>
      </c>
    </row>
    <row r="32" spans="1:6" ht="15.6" thickBot="1" x14ac:dyDescent="0.3">
      <c r="A32" s="14"/>
      <c r="B32" s="133"/>
      <c r="C32" s="16"/>
      <c r="D32" s="84"/>
      <c r="E32" s="18"/>
      <c r="F32" s="19"/>
    </row>
    <row r="33" spans="1:6" ht="16.8" thickTop="1" thickBot="1" x14ac:dyDescent="0.35">
      <c r="A33" s="32"/>
      <c r="B33" s="33" t="s">
        <v>69</v>
      </c>
      <c r="C33" s="34"/>
      <c r="D33" s="35"/>
      <c r="E33" s="36"/>
      <c r="F33" s="37" t="e">
        <f>SUM(F27:F32)</f>
        <v>#REF!</v>
      </c>
    </row>
    <row r="34" spans="1:6" ht="13.8" thickTop="1" x14ac:dyDescent="0.25"/>
    <row r="35" spans="1:6" ht="15.6" x14ac:dyDescent="0.25">
      <c r="A35" s="127"/>
      <c r="B35" s="128" t="s">
        <v>452</v>
      </c>
      <c r="C35" s="129"/>
      <c r="D35" s="130"/>
      <c r="E35" s="131"/>
      <c r="F35" s="132"/>
    </row>
    <row r="36" spans="1:6" ht="15.6" x14ac:dyDescent="0.3">
      <c r="A36" s="100" t="s">
        <v>29</v>
      </c>
      <c r="B36" s="101" t="s">
        <v>30</v>
      </c>
      <c r="C36" s="102" t="s">
        <v>2</v>
      </c>
      <c r="D36" s="103" t="s">
        <v>1</v>
      </c>
      <c r="E36" s="104" t="s">
        <v>3</v>
      </c>
      <c r="F36" s="105" t="s">
        <v>31</v>
      </c>
    </row>
    <row r="37" spans="1:6" ht="15" x14ac:dyDescent="0.25">
      <c r="A37" s="14"/>
      <c r="B37" s="133" t="s">
        <v>23</v>
      </c>
      <c r="C37" s="16" t="s">
        <v>23</v>
      </c>
      <c r="D37" s="84"/>
      <c r="E37" s="18"/>
      <c r="F37" s="19"/>
    </row>
    <row r="38" spans="1:6" ht="15" x14ac:dyDescent="0.25">
      <c r="A38" s="14" t="s">
        <v>32</v>
      </c>
      <c r="B38" s="133" t="s">
        <v>91</v>
      </c>
      <c r="C38" s="16">
        <v>1.1000000000000001</v>
      </c>
      <c r="D38" s="84" t="s">
        <v>6</v>
      </c>
      <c r="E38" s="18" t="e">
        <f>E27</f>
        <v>#REF!</v>
      </c>
      <c r="F38" s="19" t="e">
        <f>ROUND(E38*C38,2)</f>
        <v>#REF!</v>
      </c>
    </row>
    <row r="39" spans="1:6" ht="15" x14ac:dyDescent="0.25">
      <c r="A39" s="14" t="s">
        <v>35</v>
      </c>
      <c r="B39" s="133" t="s">
        <v>16</v>
      </c>
      <c r="C39" s="16">
        <v>1.78</v>
      </c>
      <c r="D39" s="84" t="s">
        <v>92</v>
      </c>
      <c r="E39" s="18">
        <v>2350</v>
      </c>
      <c r="F39" s="19">
        <f>ROUND(C39*E39,2)</f>
        <v>4183</v>
      </c>
    </row>
    <row r="40" spans="1:6" ht="15" x14ac:dyDescent="0.25">
      <c r="A40" s="14" t="s">
        <v>38</v>
      </c>
      <c r="B40" s="133" t="s">
        <v>93</v>
      </c>
      <c r="C40" s="16">
        <f>C39*2</f>
        <v>3.56</v>
      </c>
      <c r="D40" s="84" t="s">
        <v>94</v>
      </c>
      <c r="E40" s="18">
        <v>55</v>
      </c>
      <c r="F40" s="19">
        <f>ROUND(C40*E40,2)</f>
        <v>195.8</v>
      </c>
    </row>
    <row r="41" spans="1:6" ht="15" x14ac:dyDescent="0.25">
      <c r="A41" s="14" t="s">
        <v>39</v>
      </c>
      <c r="B41" s="133" t="s">
        <v>95</v>
      </c>
      <c r="C41" s="16">
        <f>+C39</f>
        <v>1.78</v>
      </c>
      <c r="D41" s="84" t="s">
        <v>92</v>
      </c>
      <c r="E41" s="18">
        <v>250</v>
      </c>
      <c r="F41" s="19">
        <f>ROUND(C41*E41,2)</f>
        <v>445</v>
      </c>
    </row>
    <row r="42" spans="1:6" ht="15" x14ac:dyDescent="0.25">
      <c r="A42" s="14" t="s">
        <v>41</v>
      </c>
      <c r="B42" s="133" t="s">
        <v>96</v>
      </c>
      <c r="C42" s="16">
        <v>6.67</v>
      </c>
      <c r="D42" s="84" t="s">
        <v>5</v>
      </c>
      <c r="E42" s="18">
        <v>375</v>
      </c>
      <c r="F42" s="19">
        <f>ROUND(C42*E42,2)</f>
        <v>2501.25</v>
      </c>
    </row>
    <row r="43" spans="1:6" ht="15.6" thickBot="1" x14ac:dyDescent="0.3">
      <c r="A43" s="14"/>
      <c r="B43" s="133"/>
      <c r="C43" s="16"/>
      <c r="D43" s="84"/>
      <c r="E43" s="18"/>
      <c r="F43" s="19"/>
    </row>
    <row r="44" spans="1:6" ht="16.8" thickTop="1" thickBot="1" x14ac:dyDescent="0.35">
      <c r="A44" s="32"/>
      <c r="B44" s="33" t="s">
        <v>69</v>
      </c>
      <c r="C44" s="34"/>
      <c r="D44" s="35"/>
      <c r="E44" s="36"/>
      <c r="F44" s="37" t="e">
        <f>SUM(F38:F43)</f>
        <v>#REF!</v>
      </c>
    </row>
    <row r="45" spans="1:6" ht="13.8" thickTop="1" x14ac:dyDescent="0.25"/>
    <row r="46" spans="1:6" ht="15.6" x14ac:dyDescent="0.25">
      <c r="A46" s="127"/>
      <c r="B46" s="128" t="s">
        <v>453</v>
      </c>
      <c r="C46" s="129"/>
      <c r="D46" s="130"/>
      <c r="E46" s="131"/>
      <c r="F46" s="132"/>
    </row>
    <row r="47" spans="1:6" ht="15.6" x14ac:dyDescent="0.3">
      <c r="A47" s="342" t="s">
        <v>29</v>
      </c>
      <c r="B47" s="343" t="s">
        <v>30</v>
      </c>
      <c r="C47" s="344" t="s">
        <v>2</v>
      </c>
      <c r="D47" s="345" t="s">
        <v>1</v>
      </c>
      <c r="E47" s="346" t="s">
        <v>3</v>
      </c>
      <c r="F47" s="347" t="s">
        <v>31</v>
      </c>
    </row>
    <row r="48" spans="1:6" ht="15" x14ac:dyDescent="0.25">
      <c r="A48" s="348" t="s">
        <v>32</v>
      </c>
      <c r="B48" s="349" t="s">
        <v>454</v>
      </c>
      <c r="C48" s="350">
        <v>1.8</v>
      </c>
      <c r="D48" s="351" t="s">
        <v>75</v>
      </c>
      <c r="E48" s="350" t="e">
        <f>#REF!</f>
        <v>#REF!</v>
      </c>
      <c r="F48" s="352" t="e">
        <f>+E48*C48</f>
        <v>#REF!</v>
      </c>
    </row>
    <row r="49" spans="1:6" ht="15" x14ac:dyDescent="0.25">
      <c r="A49" s="348" t="s">
        <v>35</v>
      </c>
      <c r="B49" s="353" t="s">
        <v>16</v>
      </c>
      <c r="C49" s="350">
        <v>1.78</v>
      </c>
      <c r="D49" s="354" t="s">
        <v>17</v>
      </c>
      <c r="E49" s="350">
        <v>2350</v>
      </c>
      <c r="F49" s="352">
        <f>+E49*C49</f>
        <v>4183</v>
      </c>
    </row>
    <row r="50" spans="1:6" ht="15" x14ac:dyDescent="0.25">
      <c r="A50" s="348" t="s">
        <v>38</v>
      </c>
      <c r="B50" s="353" t="s">
        <v>97</v>
      </c>
      <c r="C50" s="350">
        <f>C49*2</f>
        <v>3.56</v>
      </c>
      <c r="D50" s="354" t="s">
        <v>98</v>
      </c>
      <c r="E50" s="350">
        <v>55</v>
      </c>
      <c r="F50" s="352">
        <f>+E50*C50</f>
        <v>195.8</v>
      </c>
    </row>
    <row r="51" spans="1:6" ht="15" x14ac:dyDescent="0.25">
      <c r="A51" s="355" t="s">
        <v>39</v>
      </c>
      <c r="B51" s="353" t="s">
        <v>99</v>
      </c>
      <c r="C51" s="350">
        <f>C49</f>
        <v>1.78</v>
      </c>
      <c r="D51" s="354" t="s">
        <v>17</v>
      </c>
      <c r="E51" s="350">
        <v>200</v>
      </c>
      <c r="F51" s="352">
        <f>+E51*C51</f>
        <v>356</v>
      </c>
    </row>
    <row r="52" spans="1:6" ht="15.6" thickBot="1" x14ac:dyDescent="0.3">
      <c r="A52" s="356"/>
      <c r="B52" s="357"/>
      <c r="C52" s="358"/>
      <c r="D52" s="359"/>
      <c r="E52" s="358"/>
      <c r="F52" s="360"/>
    </row>
    <row r="53" spans="1:6" ht="16.8" thickTop="1" thickBot="1" x14ac:dyDescent="0.35">
      <c r="A53" s="361"/>
      <c r="B53" s="362" t="s">
        <v>69</v>
      </c>
      <c r="C53" s="363"/>
      <c r="D53" s="364"/>
      <c r="E53" s="363"/>
      <c r="F53" s="365" t="e">
        <f>SUM(F48:F52)</f>
        <v>#REF!</v>
      </c>
    </row>
    <row r="54" spans="1:6" ht="13.8" thickTop="1" x14ac:dyDescent="0.25"/>
    <row r="55" spans="1:6" ht="15.6" x14ac:dyDescent="0.25">
      <c r="A55" s="127"/>
      <c r="B55" s="128" t="s">
        <v>455</v>
      </c>
      <c r="C55" s="129"/>
      <c r="D55" s="130"/>
      <c r="E55" s="131"/>
      <c r="F55" s="132"/>
    </row>
    <row r="56" spans="1:6" ht="15.6" x14ac:dyDescent="0.3">
      <c r="A56" s="100" t="s">
        <v>29</v>
      </c>
      <c r="B56" s="101" t="s">
        <v>30</v>
      </c>
      <c r="C56" s="102" t="s">
        <v>2</v>
      </c>
      <c r="D56" s="103" t="s">
        <v>1</v>
      </c>
      <c r="E56" s="104" t="s">
        <v>3</v>
      </c>
      <c r="F56" s="105" t="s">
        <v>31</v>
      </c>
    </row>
    <row r="57" spans="1:6" ht="15" x14ac:dyDescent="0.25">
      <c r="A57" s="14"/>
      <c r="B57" s="133" t="s">
        <v>23</v>
      </c>
      <c r="C57" s="16" t="s">
        <v>23</v>
      </c>
      <c r="D57" s="84"/>
      <c r="E57" s="18"/>
      <c r="F57" s="19"/>
    </row>
    <row r="58" spans="1:6" ht="15" x14ac:dyDescent="0.25">
      <c r="A58" s="14" t="s">
        <v>32</v>
      </c>
      <c r="B58" s="133" t="s">
        <v>91</v>
      </c>
      <c r="C58" s="16">
        <v>1.1000000000000001</v>
      </c>
      <c r="D58" s="84" t="s">
        <v>6</v>
      </c>
      <c r="E58" s="18" t="e">
        <f>E38</f>
        <v>#REF!</v>
      </c>
      <c r="F58" s="19" t="e">
        <f>ROUND(E58*C58,2)</f>
        <v>#REF!</v>
      </c>
    </row>
    <row r="59" spans="1:6" ht="15" x14ac:dyDescent="0.25">
      <c r="A59" s="14" t="s">
        <v>35</v>
      </c>
      <c r="B59" s="133" t="s">
        <v>16</v>
      </c>
      <c r="C59" s="16">
        <v>2.2000000000000002</v>
      </c>
      <c r="D59" s="84" t="s">
        <v>92</v>
      </c>
      <c r="E59" s="18">
        <v>2350</v>
      </c>
      <c r="F59" s="19">
        <f>ROUND(C59*E59,2)</f>
        <v>5170</v>
      </c>
    </row>
    <row r="60" spans="1:6" ht="15" x14ac:dyDescent="0.25">
      <c r="A60" s="14" t="s">
        <v>38</v>
      </c>
      <c r="B60" s="133" t="s">
        <v>93</v>
      </c>
      <c r="C60" s="16">
        <f>C59*2</f>
        <v>4.4000000000000004</v>
      </c>
      <c r="D60" s="84" t="s">
        <v>94</v>
      </c>
      <c r="E60" s="18">
        <v>55</v>
      </c>
      <c r="F60" s="19">
        <f>ROUND(C60*E60,2)</f>
        <v>242</v>
      </c>
    </row>
    <row r="61" spans="1:6" ht="15" x14ac:dyDescent="0.25">
      <c r="A61" s="14" t="s">
        <v>39</v>
      </c>
      <c r="B61" s="133" t="s">
        <v>95</v>
      </c>
      <c r="C61" s="16">
        <f>+C59</f>
        <v>2.2000000000000002</v>
      </c>
      <c r="D61" s="84" t="s">
        <v>92</v>
      </c>
      <c r="E61" s="18">
        <v>250</v>
      </c>
      <c r="F61" s="19">
        <f>ROUND(C61*E61,2)</f>
        <v>550</v>
      </c>
    </row>
    <row r="62" spans="1:6" ht="15" x14ac:dyDescent="0.25">
      <c r="A62" s="14" t="s">
        <v>41</v>
      </c>
      <c r="B62" s="133" t="s">
        <v>96</v>
      </c>
      <c r="C62" s="16">
        <v>10</v>
      </c>
      <c r="D62" s="84" t="s">
        <v>5</v>
      </c>
      <c r="E62" s="18">
        <v>375</v>
      </c>
      <c r="F62" s="19">
        <f>ROUND(C62*E62,2)</f>
        <v>3750</v>
      </c>
    </row>
    <row r="63" spans="1:6" ht="15.6" thickBot="1" x14ac:dyDescent="0.3">
      <c r="A63" s="14"/>
      <c r="B63" s="133"/>
      <c r="C63" s="16"/>
      <c r="D63" s="84"/>
      <c r="E63" s="18"/>
      <c r="F63" s="19"/>
    </row>
    <row r="64" spans="1:6" ht="16.8" thickTop="1" thickBot="1" x14ac:dyDescent="0.35">
      <c r="A64" s="32"/>
      <c r="B64" s="33" t="s">
        <v>69</v>
      </c>
      <c r="C64" s="34"/>
      <c r="D64" s="35"/>
      <c r="E64" s="36"/>
      <c r="F64" s="37" t="e">
        <f>SUM(F58:F63)</f>
        <v>#REF!</v>
      </c>
    </row>
    <row r="65" spans="1:6" ht="13.8" thickTop="1" x14ac:dyDescent="0.25"/>
    <row r="66" spans="1:6" ht="15.6" x14ac:dyDescent="0.25">
      <c r="A66" s="896" t="s">
        <v>456</v>
      </c>
      <c r="B66" s="897"/>
      <c r="C66" s="897"/>
      <c r="D66" s="897"/>
      <c r="E66" s="897"/>
      <c r="F66" s="898"/>
    </row>
    <row r="67" spans="1:6" ht="15.6" x14ac:dyDescent="0.25">
      <c r="A67" s="127"/>
      <c r="B67" s="128" t="s">
        <v>457</v>
      </c>
      <c r="C67" s="129"/>
      <c r="D67" s="130"/>
      <c r="E67" s="131"/>
      <c r="F67" s="132"/>
    </row>
    <row r="68" spans="1:6" ht="15.6" x14ac:dyDescent="0.3">
      <c r="A68" s="100" t="s">
        <v>29</v>
      </c>
      <c r="B68" s="101" t="s">
        <v>30</v>
      </c>
      <c r="C68" s="102" t="s">
        <v>2</v>
      </c>
      <c r="D68" s="103" t="s">
        <v>1</v>
      </c>
      <c r="E68" s="104" t="s">
        <v>3</v>
      </c>
      <c r="F68" s="105" t="s">
        <v>31</v>
      </c>
    </row>
    <row r="69" spans="1:6" ht="15" x14ac:dyDescent="0.25">
      <c r="A69" s="14" t="s">
        <v>32</v>
      </c>
      <c r="B69" s="133" t="s">
        <v>448</v>
      </c>
      <c r="C69" s="16">
        <v>1.1000000000000001</v>
      </c>
      <c r="D69" s="84" t="s">
        <v>75</v>
      </c>
      <c r="E69" s="18" t="e">
        <f>E58</f>
        <v>#REF!</v>
      </c>
      <c r="F69" s="19" t="e">
        <f>+E69*C69</f>
        <v>#REF!</v>
      </c>
    </row>
    <row r="70" spans="1:6" ht="15" x14ac:dyDescent="0.25">
      <c r="A70" s="14" t="s">
        <v>35</v>
      </c>
      <c r="B70" s="133" t="s">
        <v>16</v>
      </c>
      <c r="C70" s="16">
        <v>4.08</v>
      </c>
      <c r="D70" s="84" t="s">
        <v>17</v>
      </c>
      <c r="E70" s="18">
        <v>2350</v>
      </c>
      <c r="F70" s="19">
        <f>+E70*C70</f>
        <v>9588</v>
      </c>
    </row>
    <row r="71" spans="1:6" ht="15" x14ac:dyDescent="0.25">
      <c r="A71" s="14" t="s">
        <v>38</v>
      </c>
      <c r="B71" s="133" t="s">
        <v>97</v>
      </c>
      <c r="C71" s="16">
        <f>+C70*2</f>
        <v>8.16</v>
      </c>
      <c r="D71" s="84" t="s">
        <v>98</v>
      </c>
      <c r="E71" s="18">
        <v>55</v>
      </c>
      <c r="F71" s="19">
        <f>+E71*C71</f>
        <v>448.8</v>
      </c>
    </row>
    <row r="72" spans="1:6" ht="15" x14ac:dyDescent="0.25">
      <c r="A72" s="14" t="s">
        <v>39</v>
      </c>
      <c r="B72" s="133" t="s">
        <v>449</v>
      </c>
      <c r="C72" s="16">
        <f>+C70</f>
        <v>4.08</v>
      </c>
      <c r="D72" s="84" t="s">
        <v>17</v>
      </c>
      <c r="E72" s="18">
        <v>250</v>
      </c>
      <c r="F72" s="19">
        <f>+E72*C72</f>
        <v>1020</v>
      </c>
    </row>
    <row r="73" spans="1:6" ht="15" x14ac:dyDescent="0.25">
      <c r="A73" s="14" t="s">
        <v>41</v>
      </c>
      <c r="B73" s="133" t="s">
        <v>450</v>
      </c>
      <c r="C73" s="16">
        <v>6.67</v>
      </c>
      <c r="D73" s="84" t="s">
        <v>5</v>
      </c>
      <c r="E73" s="18">
        <v>275</v>
      </c>
      <c r="F73" s="19">
        <f>ROUND(E73*C73,2)</f>
        <v>1834.25</v>
      </c>
    </row>
    <row r="74" spans="1:6" ht="15.6" thickBot="1" x14ac:dyDescent="0.3">
      <c r="A74" s="14"/>
      <c r="B74" s="133"/>
      <c r="C74" s="16"/>
      <c r="D74" s="84"/>
      <c r="E74" s="18"/>
      <c r="F74" s="19"/>
    </row>
    <row r="75" spans="1:6" ht="16.8" thickTop="1" thickBot="1" x14ac:dyDescent="0.35">
      <c r="A75" s="32"/>
      <c r="B75" s="33" t="s">
        <v>69</v>
      </c>
      <c r="C75" s="34"/>
      <c r="D75" s="35"/>
      <c r="E75" s="36"/>
      <c r="F75" s="37" t="e">
        <f>SUM(F69:F74)</f>
        <v>#REF!</v>
      </c>
    </row>
    <row r="76" spans="1:6" ht="13.8" thickTop="1" x14ac:dyDescent="0.25"/>
    <row r="77" spans="1:6" ht="15.6" x14ac:dyDescent="0.25">
      <c r="A77" s="127"/>
      <c r="B77" s="128" t="s">
        <v>458</v>
      </c>
      <c r="C77" s="129"/>
      <c r="D77" s="130"/>
      <c r="E77" s="131"/>
      <c r="F77" s="132"/>
    </row>
    <row r="78" spans="1:6" ht="15.6" x14ac:dyDescent="0.3">
      <c r="A78" s="100" t="s">
        <v>29</v>
      </c>
      <c r="B78" s="101" t="s">
        <v>30</v>
      </c>
      <c r="C78" s="102" t="s">
        <v>2</v>
      </c>
      <c r="D78" s="103" t="s">
        <v>1</v>
      </c>
      <c r="E78" s="104" t="s">
        <v>3</v>
      </c>
      <c r="F78" s="105" t="s">
        <v>31</v>
      </c>
    </row>
    <row r="79" spans="1:6" ht="15" x14ac:dyDescent="0.25">
      <c r="A79" s="14"/>
      <c r="B79" s="133" t="s">
        <v>23</v>
      </c>
      <c r="C79" s="16" t="s">
        <v>23</v>
      </c>
      <c r="D79" s="84"/>
      <c r="E79" s="18"/>
      <c r="F79" s="19"/>
    </row>
    <row r="80" spans="1:6" ht="15" x14ac:dyDescent="0.25">
      <c r="A80" s="14" t="s">
        <v>32</v>
      </c>
      <c r="B80" s="133" t="s">
        <v>91</v>
      </c>
      <c r="C80" s="16">
        <v>1.1000000000000001</v>
      </c>
      <c r="D80" s="84" t="s">
        <v>6</v>
      </c>
      <c r="E80" s="18" t="e">
        <f>E69</f>
        <v>#REF!</v>
      </c>
      <c r="F80" s="19" t="e">
        <f>ROUND(E80*C80,2)</f>
        <v>#REF!</v>
      </c>
    </row>
    <row r="81" spans="1:6" ht="15" x14ac:dyDescent="0.25">
      <c r="A81" s="14" t="s">
        <v>35</v>
      </c>
      <c r="B81" s="133" t="s">
        <v>16</v>
      </c>
      <c r="C81" s="16">
        <v>2.67</v>
      </c>
      <c r="D81" s="84" t="s">
        <v>92</v>
      </c>
      <c r="E81" s="18">
        <v>2350</v>
      </c>
      <c r="F81" s="19">
        <f>ROUND(C81*E81,2)</f>
        <v>6274.5</v>
      </c>
    </row>
    <row r="82" spans="1:6" ht="15" x14ac:dyDescent="0.25">
      <c r="A82" s="14" t="s">
        <v>38</v>
      </c>
      <c r="B82" s="133" t="s">
        <v>93</v>
      </c>
      <c r="C82" s="16">
        <f>C81*2</f>
        <v>5.34</v>
      </c>
      <c r="D82" s="84" t="s">
        <v>94</v>
      </c>
      <c r="E82" s="18">
        <v>55</v>
      </c>
      <c r="F82" s="19">
        <f>ROUND(C82*E82,2)</f>
        <v>293.7</v>
      </c>
    </row>
    <row r="83" spans="1:6" ht="15" x14ac:dyDescent="0.25">
      <c r="A83" s="14" t="s">
        <v>39</v>
      </c>
      <c r="B83" s="133" t="s">
        <v>95</v>
      </c>
      <c r="C83" s="16">
        <f>+C81</f>
        <v>2.67</v>
      </c>
      <c r="D83" s="84" t="s">
        <v>92</v>
      </c>
      <c r="E83" s="18">
        <v>250</v>
      </c>
      <c r="F83" s="19">
        <f>ROUND(C83*E83,2)</f>
        <v>667.5</v>
      </c>
    </row>
    <row r="84" spans="1:6" ht="15" x14ac:dyDescent="0.25">
      <c r="A84" s="14" t="s">
        <v>41</v>
      </c>
      <c r="B84" s="133" t="s">
        <v>459</v>
      </c>
      <c r="C84" s="16">
        <v>10</v>
      </c>
      <c r="D84" s="84" t="s">
        <v>5</v>
      </c>
      <c r="E84" s="18">
        <v>350</v>
      </c>
      <c r="F84" s="19">
        <f>ROUND(C84*E84,2)</f>
        <v>3500</v>
      </c>
    </row>
    <row r="85" spans="1:6" ht="15.6" thickBot="1" x14ac:dyDescent="0.3">
      <c r="A85" s="14"/>
      <c r="B85" s="133"/>
      <c r="C85" s="16"/>
      <c r="D85" s="84"/>
      <c r="E85" s="18"/>
      <c r="F85" s="19"/>
    </row>
    <row r="86" spans="1:6" ht="16.8" thickTop="1" thickBot="1" x14ac:dyDescent="0.35">
      <c r="A86" s="32"/>
      <c r="B86" s="33" t="s">
        <v>69</v>
      </c>
      <c r="C86" s="34"/>
      <c r="D86" s="35"/>
      <c r="E86" s="36"/>
      <c r="F86" s="37" t="e">
        <f>SUM(F80:F85)</f>
        <v>#REF!</v>
      </c>
    </row>
    <row r="87" spans="1:6" ht="13.8" thickTop="1" x14ac:dyDescent="0.25"/>
    <row r="88" spans="1:6" ht="15.6" x14ac:dyDescent="0.25">
      <c r="A88" s="127"/>
      <c r="B88" s="128" t="s">
        <v>460</v>
      </c>
      <c r="C88" s="129"/>
      <c r="D88" s="130"/>
      <c r="E88" s="131"/>
      <c r="F88" s="132"/>
    </row>
    <row r="89" spans="1:6" ht="15.6" x14ac:dyDescent="0.3">
      <c r="A89" s="100" t="s">
        <v>29</v>
      </c>
      <c r="B89" s="101" t="s">
        <v>30</v>
      </c>
      <c r="C89" s="102" t="s">
        <v>2</v>
      </c>
      <c r="D89" s="103" t="s">
        <v>1</v>
      </c>
      <c r="E89" s="104" t="s">
        <v>3</v>
      </c>
      <c r="F89" s="105" t="s">
        <v>31</v>
      </c>
    </row>
    <row r="90" spans="1:6" ht="15" x14ac:dyDescent="0.25">
      <c r="A90" s="14" t="s">
        <v>32</v>
      </c>
      <c r="B90" s="133" t="s">
        <v>91</v>
      </c>
      <c r="C90" s="16">
        <v>1.1000000000000001</v>
      </c>
      <c r="D90" s="84" t="s">
        <v>75</v>
      </c>
      <c r="E90" s="18" t="e">
        <f>E80</f>
        <v>#REF!</v>
      </c>
      <c r="F90" s="19" t="e">
        <f>ROUND(E90*C90,2)</f>
        <v>#REF!</v>
      </c>
    </row>
    <row r="91" spans="1:6" ht="15" x14ac:dyDescent="0.25">
      <c r="A91" s="14" t="s">
        <v>35</v>
      </c>
      <c r="B91" s="133" t="s">
        <v>16</v>
      </c>
      <c r="C91" s="16">
        <v>5.04</v>
      </c>
      <c r="D91" s="84" t="s">
        <v>17</v>
      </c>
      <c r="E91" s="18">
        <v>2350</v>
      </c>
      <c r="F91" s="19">
        <f>ROUND(E91*C91,2)</f>
        <v>11844</v>
      </c>
    </row>
    <row r="92" spans="1:6" ht="15" x14ac:dyDescent="0.25">
      <c r="A92" s="14" t="s">
        <v>38</v>
      </c>
      <c r="B92" s="133" t="s">
        <v>97</v>
      </c>
      <c r="C92" s="16">
        <f>C91*2</f>
        <v>10.08</v>
      </c>
      <c r="D92" s="84" t="s">
        <v>98</v>
      </c>
      <c r="E92" s="18">
        <v>55</v>
      </c>
      <c r="F92" s="19">
        <f>ROUND(E92*C92,2)</f>
        <v>554.4</v>
      </c>
    </row>
    <row r="93" spans="1:6" ht="15" x14ac:dyDescent="0.25">
      <c r="A93" s="14" t="s">
        <v>39</v>
      </c>
      <c r="B93" s="133" t="s">
        <v>450</v>
      </c>
      <c r="C93" s="16">
        <v>10</v>
      </c>
      <c r="D93" s="84" t="s">
        <v>5</v>
      </c>
      <c r="E93" s="18">
        <v>275</v>
      </c>
      <c r="F93" s="19">
        <f>ROUND(E93*C93,2)</f>
        <v>2750</v>
      </c>
    </row>
    <row r="94" spans="1:6" ht="15" x14ac:dyDescent="0.25">
      <c r="A94" s="14" t="s">
        <v>41</v>
      </c>
      <c r="B94" s="133" t="s">
        <v>461</v>
      </c>
      <c r="C94" s="16">
        <f>C91</f>
        <v>5.04</v>
      </c>
      <c r="D94" s="84" t="s">
        <v>17</v>
      </c>
      <c r="E94" s="18">
        <v>250</v>
      </c>
      <c r="F94" s="19">
        <f>ROUND(E94*C94,2)</f>
        <v>1260</v>
      </c>
    </row>
    <row r="95" spans="1:6" ht="15.6" thickBot="1" x14ac:dyDescent="0.3">
      <c r="A95" s="14"/>
      <c r="B95" s="133"/>
      <c r="C95" s="16"/>
      <c r="D95" s="84"/>
      <c r="E95" s="18"/>
      <c r="F95" s="19"/>
    </row>
    <row r="96" spans="1:6" ht="16.8" thickTop="1" thickBot="1" x14ac:dyDescent="0.35">
      <c r="A96" s="32"/>
      <c r="B96" s="33" t="s">
        <v>69</v>
      </c>
      <c r="C96" s="34"/>
      <c r="D96" s="35"/>
      <c r="E96" s="36"/>
      <c r="F96" s="37" t="e">
        <f>SUM(F90:F95)</f>
        <v>#REF!</v>
      </c>
    </row>
    <row r="97" spans="1:6" ht="13.8" thickTop="1" x14ac:dyDescent="0.25"/>
    <row r="98" spans="1:6" ht="15.6" x14ac:dyDescent="0.25">
      <c r="A98" s="134">
        <v>20</v>
      </c>
      <c r="B98" s="135" t="s">
        <v>462</v>
      </c>
      <c r="C98" s="136"/>
      <c r="D98" s="137"/>
      <c r="E98" s="136"/>
      <c r="F98" s="138"/>
    </row>
    <row r="99" spans="1:6" ht="15.6" x14ac:dyDescent="0.3">
      <c r="A99" s="139" t="s">
        <v>29</v>
      </c>
      <c r="B99" s="140" t="s">
        <v>30</v>
      </c>
      <c r="C99" s="141" t="s">
        <v>2</v>
      </c>
      <c r="D99" s="142" t="s">
        <v>1</v>
      </c>
      <c r="E99" s="143" t="s">
        <v>3</v>
      </c>
      <c r="F99" s="144" t="s">
        <v>31</v>
      </c>
    </row>
    <row r="100" spans="1:6" ht="15.6" x14ac:dyDescent="0.25">
      <c r="A100" s="145"/>
      <c r="B100" s="146"/>
      <c r="C100" s="147"/>
      <c r="D100" s="148"/>
      <c r="E100" s="147"/>
      <c r="F100" s="149"/>
    </row>
    <row r="101" spans="1:6" ht="15" x14ac:dyDescent="0.25">
      <c r="A101" s="150" t="s">
        <v>32</v>
      </c>
      <c r="B101" s="133" t="s">
        <v>91</v>
      </c>
      <c r="C101" s="147">
        <v>1.1000000000000001</v>
      </c>
      <c r="D101" s="148" t="s">
        <v>26</v>
      </c>
      <c r="E101" s="147" t="e">
        <f>E90</f>
        <v>#REF!</v>
      </c>
      <c r="F101" s="149" t="e">
        <f>ROUND(E101*C101,2)</f>
        <v>#REF!</v>
      </c>
    </row>
    <row r="102" spans="1:6" ht="15" x14ac:dyDescent="0.25">
      <c r="A102" s="150" t="s">
        <v>35</v>
      </c>
      <c r="B102" s="151" t="s">
        <v>16</v>
      </c>
      <c r="C102" s="147">
        <v>1.4</v>
      </c>
      <c r="D102" s="148" t="s">
        <v>92</v>
      </c>
      <c r="E102" s="147">
        <v>2350</v>
      </c>
      <c r="F102" s="149">
        <f>ROUND(E102*C102,2)</f>
        <v>3290</v>
      </c>
    </row>
    <row r="103" spans="1:6" ht="15" x14ac:dyDescent="0.25">
      <c r="A103" s="150" t="s">
        <v>38</v>
      </c>
      <c r="B103" s="151" t="s">
        <v>97</v>
      </c>
      <c r="C103" s="147">
        <v>2.8</v>
      </c>
      <c r="D103" s="148" t="s">
        <v>94</v>
      </c>
      <c r="E103" s="147">
        <v>55</v>
      </c>
      <c r="F103" s="149">
        <f>ROUND(E103*C103,2)</f>
        <v>154</v>
      </c>
    </row>
    <row r="104" spans="1:6" ht="15" x14ac:dyDescent="0.25">
      <c r="A104" s="152" t="s">
        <v>39</v>
      </c>
      <c r="B104" s="366" t="s">
        <v>463</v>
      </c>
      <c r="C104" s="147">
        <v>66.66</v>
      </c>
      <c r="D104" s="148" t="s">
        <v>18</v>
      </c>
      <c r="E104" s="147">
        <v>60</v>
      </c>
      <c r="F104" s="149">
        <f>ROUND(E104*C104,2)</f>
        <v>3999.6</v>
      </c>
    </row>
    <row r="105" spans="1:6" ht="15" x14ac:dyDescent="0.25">
      <c r="A105" s="152" t="s">
        <v>41</v>
      </c>
      <c r="B105" s="366" t="s">
        <v>464</v>
      </c>
      <c r="C105" s="147">
        <v>1.4</v>
      </c>
      <c r="D105" s="148" t="s">
        <v>92</v>
      </c>
      <c r="E105" s="147">
        <v>250</v>
      </c>
      <c r="F105" s="149">
        <f>ROUND(E105*C105,2)</f>
        <v>350</v>
      </c>
    </row>
    <row r="106" spans="1:6" ht="16.2" thickBot="1" x14ac:dyDescent="0.35">
      <c r="A106" s="153"/>
      <c r="B106" s="154"/>
      <c r="C106" s="155"/>
      <c r="D106" s="156"/>
      <c r="E106" s="157"/>
      <c r="F106" s="158"/>
    </row>
    <row r="107" spans="1:6" ht="16.8" thickTop="1" thickBot="1" x14ac:dyDescent="0.35">
      <c r="A107" s="159"/>
      <c r="B107" s="160" t="s">
        <v>465</v>
      </c>
      <c r="C107" s="161"/>
      <c r="D107" s="162"/>
      <c r="E107" s="161"/>
      <c r="F107" s="163" t="e">
        <f>SUM(F101:F106)</f>
        <v>#REF!</v>
      </c>
    </row>
    <row r="108" spans="1:6" ht="13.8" thickTop="1" x14ac:dyDescent="0.25"/>
    <row r="110" spans="1:6" ht="15.6" x14ac:dyDescent="0.25">
      <c r="A110" s="896" t="s">
        <v>466</v>
      </c>
      <c r="B110" s="897"/>
      <c r="C110" s="897"/>
      <c r="D110" s="897"/>
      <c r="E110" s="897"/>
      <c r="F110" s="898"/>
    </row>
    <row r="111" spans="1:6" ht="15.6" x14ac:dyDescent="0.25">
      <c r="A111" s="127"/>
      <c r="B111" s="128" t="s">
        <v>467</v>
      </c>
      <c r="C111" s="129"/>
      <c r="D111" s="130"/>
      <c r="E111" s="131"/>
      <c r="F111" s="132"/>
    </row>
    <row r="112" spans="1:6" ht="15.6" x14ac:dyDescent="0.3">
      <c r="A112" s="100" t="s">
        <v>29</v>
      </c>
      <c r="B112" s="101" t="s">
        <v>30</v>
      </c>
      <c r="C112" s="102" t="s">
        <v>2</v>
      </c>
      <c r="D112" s="103" t="s">
        <v>1</v>
      </c>
      <c r="E112" s="104" t="s">
        <v>3</v>
      </c>
      <c r="F112" s="105" t="s">
        <v>31</v>
      </c>
    </row>
    <row r="113" spans="1:6" ht="15" x14ac:dyDescent="0.25">
      <c r="A113" s="14" t="s">
        <v>32</v>
      </c>
      <c r="B113" s="133" t="s">
        <v>448</v>
      </c>
      <c r="C113" s="16">
        <v>1.1000000000000001</v>
      </c>
      <c r="D113" s="84" t="s">
        <v>75</v>
      </c>
      <c r="E113" s="18" t="e">
        <f>E101</f>
        <v>#REF!</v>
      </c>
      <c r="F113" s="19" t="e">
        <f>+E113*C113</f>
        <v>#REF!</v>
      </c>
    </row>
    <row r="114" spans="1:6" ht="15" x14ac:dyDescent="0.25">
      <c r="A114" s="14" t="s">
        <v>35</v>
      </c>
      <c r="B114" s="133" t="s">
        <v>16</v>
      </c>
      <c r="C114" s="16">
        <v>1.44</v>
      </c>
      <c r="D114" s="84" t="s">
        <v>17</v>
      </c>
      <c r="E114" s="18">
        <v>2350</v>
      </c>
      <c r="F114" s="19">
        <f>+E114*C114</f>
        <v>3384</v>
      </c>
    </row>
    <row r="115" spans="1:6" ht="15" x14ac:dyDescent="0.25">
      <c r="A115" s="14" t="s">
        <v>38</v>
      </c>
      <c r="B115" s="133" t="s">
        <v>97</v>
      </c>
      <c r="C115" s="16">
        <f>+C114*2</f>
        <v>2.88</v>
      </c>
      <c r="D115" s="84" t="s">
        <v>98</v>
      </c>
      <c r="E115" s="18">
        <v>55</v>
      </c>
      <c r="F115" s="19">
        <f>+E115*C115</f>
        <v>158.4</v>
      </c>
    </row>
    <row r="116" spans="1:6" ht="15" x14ac:dyDescent="0.25">
      <c r="A116" s="14" t="s">
        <v>39</v>
      </c>
      <c r="B116" s="133" t="s">
        <v>449</v>
      </c>
      <c r="C116" s="16">
        <f>+C114</f>
        <v>1.44</v>
      </c>
      <c r="D116" s="84" t="s">
        <v>17</v>
      </c>
      <c r="E116" s="18">
        <v>250</v>
      </c>
      <c r="F116" s="19">
        <f>+E116*C116</f>
        <v>360</v>
      </c>
    </row>
    <row r="117" spans="1:6" ht="15" x14ac:dyDescent="0.25">
      <c r="A117" s="14" t="s">
        <v>41</v>
      </c>
      <c r="B117" s="133" t="s">
        <v>450</v>
      </c>
      <c r="C117" s="16">
        <v>10</v>
      </c>
      <c r="D117" s="84" t="s">
        <v>5</v>
      </c>
      <c r="E117" s="18">
        <v>275</v>
      </c>
      <c r="F117" s="19">
        <f>ROUND(E117*C117,2)</f>
        <v>2750</v>
      </c>
    </row>
    <row r="118" spans="1:6" ht="15.6" thickBot="1" x14ac:dyDescent="0.3">
      <c r="A118" s="14"/>
      <c r="B118" s="133"/>
      <c r="C118" s="16"/>
      <c r="D118" s="84"/>
      <c r="E118" s="18"/>
      <c r="F118" s="19"/>
    </row>
    <row r="119" spans="1:6" ht="16.8" thickTop="1" thickBot="1" x14ac:dyDescent="0.35">
      <c r="A119" s="32"/>
      <c r="B119" s="33" t="s">
        <v>69</v>
      </c>
      <c r="C119" s="34"/>
      <c r="D119" s="35"/>
      <c r="E119" s="36"/>
      <c r="F119" s="37" t="e">
        <f>SUM(F113:F118)</f>
        <v>#REF!</v>
      </c>
    </row>
    <row r="120" spans="1:6" ht="13.8" thickTop="1" x14ac:dyDescent="0.25"/>
    <row r="121" spans="1:6" ht="15.6" x14ac:dyDescent="0.25">
      <c r="A121" s="134">
        <v>20</v>
      </c>
      <c r="B121" s="135" t="s">
        <v>462</v>
      </c>
      <c r="C121" s="136"/>
      <c r="D121" s="137"/>
      <c r="E121" s="136"/>
      <c r="F121" s="138"/>
    </row>
    <row r="122" spans="1:6" ht="15.6" x14ac:dyDescent="0.3">
      <c r="A122" s="139" t="s">
        <v>29</v>
      </c>
      <c r="B122" s="140" t="s">
        <v>30</v>
      </c>
      <c r="C122" s="141" t="s">
        <v>2</v>
      </c>
      <c r="D122" s="142" t="s">
        <v>1</v>
      </c>
      <c r="E122" s="143" t="s">
        <v>3</v>
      </c>
      <c r="F122" s="144" t="s">
        <v>31</v>
      </c>
    </row>
    <row r="123" spans="1:6" ht="15.6" x14ac:dyDescent="0.25">
      <c r="A123" s="145"/>
      <c r="B123" s="146"/>
      <c r="C123" s="147"/>
      <c r="D123" s="148"/>
      <c r="E123" s="147"/>
      <c r="F123" s="149"/>
    </row>
    <row r="124" spans="1:6" ht="15" x14ac:dyDescent="0.25">
      <c r="A124" s="150" t="s">
        <v>32</v>
      </c>
      <c r="B124" s="133" t="s">
        <v>91</v>
      </c>
      <c r="C124" s="147">
        <v>1.1000000000000001</v>
      </c>
      <c r="D124" s="148" t="s">
        <v>26</v>
      </c>
      <c r="E124" s="147" t="e">
        <f>E101</f>
        <v>#REF!</v>
      </c>
      <c r="F124" s="149" t="e">
        <f>ROUND(E124*C124,2)</f>
        <v>#REF!</v>
      </c>
    </row>
    <row r="125" spans="1:6" ht="15" x14ac:dyDescent="0.25">
      <c r="A125" s="150" t="s">
        <v>35</v>
      </c>
      <c r="B125" s="151" t="s">
        <v>16</v>
      </c>
      <c r="C125" s="147">
        <v>1.4</v>
      </c>
      <c r="D125" s="148" t="s">
        <v>92</v>
      </c>
      <c r="E125" s="147">
        <v>2350</v>
      </c>
      <c r="F125" s="149">
        <f>ROUND(E125*C125,2)</f>
        <v>3290</v>
      </c>
    </row>
    <row r="126" spans="1:6" ht="15" x14ac:dyDescent="0.25">
      <c r="A126" s="150" t="s">
        <v>38</v>
      </c>
      <c r="B126" s="151" t="s">
        <v>97</v>
      </c>
      <c r="C126" s="147">
        <v>2.8</v>
      </c>
      <c r="D126" s="148" t="s">
        <v>94</v>
      </c>
      <c r="E126" s="147">
        <v>55</v>
      </c>
      <c r="F126" s="149">
        <f>ROUND(E126*C126,2)</f>
        <v>154</v>
      </c>
    </row>
    <row r="127" spans="1:6" ht="15" x14ac:dyDescent="0.25">
      <c r="A127" s="152" t="s">
        <v>39</v>
      </c>
      <c r="B127" s="366" t="s">
        <v>463</v>
      </c>
      <c r="C127" s="147">
        <v>66.66</v>
      </c>
      <c r="D127" s="148" t="s">
        <v>18</v>
      </c>
      <c r="E127" s="147">
        <v>60</v>
      </c>
      <c r="F127" s="149">
        <f>ROUND(E127*C127,2)</f>
        <v>3999.6</v>
      </c>
    </row>
    <row r="128" spans="1:6" ht="15" x14ac:dyDescent="0.25">
      <c r="A128" s="152" t="s">
        <v>41</v>
      </c>
      <c r="B128" s="366" t="s">
        <v>464</v>
      </c>
      <c r="C128" s="147">
        <v>1.4</v>
      </c>
      <c r="D128" s="148" t="s">
        <v>92</v>
      </c>
      <c r="E128" s="147">
        <v>250</v>
      </c>
      <c r="F128" s="149">
        <f>ROUND(E128*C128,2)</f>
        <v>350</v>
      </c>
    </row>
    <row r="129" spans="1:6" ht="16.2" thickBot="1" x14ac:dyDescent="0.35">
      <c r="A129" s="153"/>
      <c r="B129" s="154"/>
      <c r="C129" s="155"/>
      <c r="D129" s="156"/>
      <c r="E129" s="157"/>
      <c r="F129" s="158"/>
    </row>
    <row r="130" spans="1:6" ht="16.8" thickTop="1" thickBot="1" x14ac:dyDescent="0.35">
      <c r="A130" s="159"/>
      <c r="B130" s="160" t="s">
        <v>465</v>
      </c>
      <c r="C130" s="161"/>
      <c r="D130" s="162"/>
      <c r="E130" s="161"/>
      <c r="F130" s="163" t="e">
        <f>SUM(F124:F129)</f>
        <v>#REF!</v>
      </c>
    </row>
    <row r="131" spans="1:6" ht="13.8" thickTop="1" x14ac:dyDescent="0.25"/>
    <row r="132" spans="1:6" ht="16.2" thickBot="1" x14ac:dyDescent="0.35">
      <c r="A132" s="367">
        <v>30</v>
      </c>
      <c r="B132" s="368" t="s">
        <v>468</v>
      </c>
      <c r="C132" s="369"/>
      <c r="D132" s="370"/>
      <c r="E132" s="371"/>
      <c r="F132" s="371"/>
    </row>
    <row r="133" spans="1:6" ht="16.2" thickTop="1" x14ac:dyDescent="0.3">
      <c r="A133" s="372" t="s">
        <v>29</v>
      </c>
      <c r="B133" s="9" t="s">
        <v>30</v>
      </c>
      <c r="C133" s="10" t="s">
        <v>2</v>
      </c>
      <c r="D133" s="11" t="s">
        <v>1</v>
      </c>
      <c r="E133" s="12" t="s">
        <v>3</v>
      </c>
      <c r="F133" s="13" t="s">
        <v>31</v>
      </c>
    </row>
    <row r="134" spans="1:6" ht="15" x14ac:dyDescent="0.25">
      <c r="A134" s="373" t="s">
        <v>32</v>
      </c>
      <c r="B134" s="374" t="s">
        <v>469</v>
      </c>
      <c r="C134" s="375">
        <v>13</v>
      </c>
      <c r="D134" s="376" t="s">
        <v>52</v>
      </c>
      <c r="E134" s="377">
        <v>24</v>
      </c>
      <c r="F134" s="378">
        <f t="shared" ref="F134:F140" si="0">ROUND(C134*E134,2)</f>
        <v>312</v>
      </c>
    </row>
    <row r="135" spans="1:6" ht="15" x14ac:dyDescent="0.25">
      <c r="A135" s="373" t="s">
        <v>35</v>
      </c>
      <c r="B135" s="374" t="s">
        <v>84</v>
      </c>
      <c r="C135" s="379">
        <v>0.03</v>
      </c>
      <c r="D135" s="376" t="s">
        <v>173</v>
      </c>
      <c r="E135" s="377" t="e">
        <f>#REF!</f>
        <v>#REF!</v>
      </c>
      <c r="F135" s="378" t="e">
        <f t="shared" si="0"/>
        <v>#REF!</v>
      </c>
    </row>
    <row r="136" spans="1:6" ht="15" x14ac:dyDescent="0.25">
      <c r="A136" s="373" t="s">
        <v>38</v>
      </c>
      <c r="B136" s="380" t="s">
        <v>470</v>
      </c>
      <c r="C136" s="379">
        <v>0.02</v>
      </c>
      <c r="D136" s="376" t="s">
        <v>173</v>
      </c>
      <c r="E136" s="377" t="e">
        <f>#REF!</f>
        <v>#REF!</v>
      </c>
      <c r="F136" s="378" t="e">
        <f t="shared" si="0"/>
        <v>#REF!</v>
      </c>
    </row>
    <row r="137" spans="1:6" ht="15" x14ac:dyDescent="0.25">
      <c r="A137" s="373" t="s">
        <v>39</v>
      </c>
      <c r="B137" s="374" t="s">
        <v>471</v>
      </c>
      <c r="C137" s="379">
        <v>0.03</v>
      </c>
      <c r="D137" s="376" t="s">
        <v>17</v>
      </c>
      <c r="E137" s="377">
        <v>2350</v>
      </c>
      <c r="F137" s="378">
        <f t="shared" si="0"/>
        <v>70.5</v>
      </c>
    </row>
    <row r="138" spans="1:6" ht="15" x14ac:dyDescent="0.25">
      <c r="A138" s="373" t="s">
        <v>41</v>
      </c>
      <c r="B138" s="374" t="s">
        <v>472</v>
      </c>
      <c r="C138" s="375">
        <v>13</v>
      </c>
      <c r="D138" s="376" t="s">
        <v>52</v>
      </c>
      <c r="E138" s="377">
        <v>2.2000000000000002</v>
      </c>
      <c r="F138" s="378">
        <f t="shared" si="0"/>
        <v>28.6</v>
      </c>
    </row>
    <row r="139" spans="1:6" ht="15" x14ac:dyDescent="0.25">
      <c r="A139" s="373" t="s">
        <v>43</v>
      </c>
      <c r="B139" s="374" t="s">
        <v>473</v>
      </c>
      <c r="C139" s="375">
        <f>C138</f>
        <v>13</v>
      </c>
      <c r="D139" s="376" t="s">
        <v>52</v>
      </c>
      <c r="E139" s="377">
        <v>3</v>
      </c>
      <c r="F139" s="378">
        <f t="shared" si="0"/>
        <v>39</v>
      </c>
    </row>
    <row r="140" spans="1:6" ht="15" x14ac:dyDescent="0.25">
      <c r="A140" s="373" t="s">
        <v>45</v>
      </c>
      <c r="B140" s="374" t="s">
        <v>474</v>
      </c>
      <c r="C140" s="375">
        <f>C138</f>
        <v>13</v>
      </c>
      <c r="D140" s="376" t="s">
        <v>52</v>
      </c>
      <c r="E140" s="377">
        <v>15</v>
      </c>
      <c r="F140" s="378">
        <f t="shared" si="0"/>
        <v>195</v>
      </c>
    </row>
    <row r="141" spans="1:6" ht="15.6" thickBot="1" x14ac:dyDescent="0.3">
      <c r="A141" s="381"/>
      <c r="B141" s="382"/>
      <c r="C141" s="383"/>
      <c r="D141" s="384"/>
      <c r="E141" s="385"/>
      <c r="F141" s="386"/>
    </row>
    <row r="142" spans="1:6" ht="16.8" thickTop="1" thickBot="1" x14ac:dyDescent="0.35">
      <c r="A142" s="387"/>
      <c r="B142" s="33" t="s">
        <v>100</v>
      </c>
      <c r="C142" s="34"/>
      <c r="D142" s="35"/>
      <c r="E142" s="36"/>
      <c r="F142" s="37" t="e">
        <f>SUM(F134:F141)</f>
        <v>#REF!</v>
      </c>
    </row>
    <row r="143" spans="1:6" ht="13.8" thickTop="1" x14ac:dyDescent="0.25"/>
    <row r="144" spans="1:6" ht="15.6" x14ac:dyDescent="0.25">
      <c r="A144" s="896" t="s">
        <v>475</v>
      </c>
      <c r="B144" s="897"/>
      <c r="C144" s="897"/>
      <c r="D144" s="897"/>
      <c r="E144" s="897"/>
      <c r="F144" s="898"/>
    </row>
    <row r="145" spans="1:6" ht="15.6" x14ac:dyDescent="0.25">
      <c r="A145" s="127"/>
      <c r="B145" s="128" t="s">
        <v>476</v>
      </c>
      <c r="C145" s="129"/>
      <c r="D145" s="130"/>
      <c r="E145" s="131"/>
      <c r="F145" s="132"/>
    </row>
    <row r="146" spans="1:6" ht="15.6" x14ac:dyDescent="0.3">
      <c r="A146" s="100" t="s">
        <v>29</v>
      </c>
      <c r="B146" s="101" t="s">
        <v>30</v>
      </c>
      <c r="C146" s="102" t="s">
        <v>2</v>
      </c>
      <c r="D146" s="103" t="s">
        <v>1</v>
      </c>
      <c r="E146" s="104" t="s">
        <v>3</v>
      </c>
      <c r="F146" s="105" t="s">
        <v>31</v>
      </c>
    </row>
    <row r="147" spans="1:6" ht="15" x14ac:dyDescent="0.25">
      <c r="A147" s="14" t="s">
        <v>32</v>
      </c>
      <c r="B147" s="133" t="s">
        <v>448</v>
      </c>
      <c r="C147" s="16">
        <v>1.1000000000000001</v>
      </c>
      <c r="D147" s="84" t="s">
        <v>75</v>
      </c>
      <c r="E147" s="18" t="e">
        <f>E124</f>
        <v>#REF!</v>
      </c>
      <c r="F147" s="19" t="e">
        <f>+E147*C147</f>
        <v>#REF!</v>
      </c>
    </row>
    <row r="148" spans="1:6" ht="15" x14ac:dyDescent="0.25">
      <c r="A148" s="14" t="s">
        <v>35</v>
      </c>
      <c r="B148" s="133" t="s">
        <v>16</v>
      </c>
      <c r="C148" s="16">
        <v>1.3</v>
      </c>
      <c r="D148" s="84" t="s">
        <v>17</v>
      </c>
      <c r="E148" s="18">
        <v>2350</v>
      </c>
      <c r="F148" s="19">
        <f>+E148*C148</f>
        <v>3055</v>
      </c>
    </row>
    <row r="149" spans="1:6" ht="15" x14ac:dyDescent="0.25">
      <c r="A149" s="14" t="s">
        <v>38</v>
      </c>
      <c r="B149" s="133" t="s">
        <v>97</v>
      </c>
      <c r="C149" s="16">
        <f>+C148*2</f>
        <v>2.6</v>
      </c>
      <c r="D149" s="84" t="s">
        <v>98</v>
      </c>
      <c r="E149" s="18">
        <v>55</v>
      </c>
      <c r="F149" s="19">
        <f>+E149*C149</f>
        <v>143</v>
      </c>
    </row>
    <row r="150" spans="1:6" ht="15" x14ac:dyDescent="0.25">
      <c r="A150" s="14" t="s">
        <v>39</v>
      </c>
      <c r="B150" s="133" t="s">
        <v>449</v>
      </c>
      <c r="C150" s="16">
        <f>+C148</f>
        <v>1.3</v>
      </c>
      <c r="D150" s="84" t="s">
        <v>17</v>
      </c>
      <c r="E150" s="18">
        <v>250</v>
      </c>
      <c r="F150" s="19">
        <f>+E150*C150</f>
        <v>325</v>
      </c>
    </row>
    <row r="151" spans="1:6" ht="15" x14ac:dyDescent="0.25">
      <c r="A151" s="14" t="s">
        <v>41</v>
      </c>
      <c r="B151" s="133" t="s">
        <v>450</v>
      </c>
      <c r="C151" s="16">
        <v>10</v>
      </c>
      <c r="D151" s="84" t="s">
        <v>5</v>
      </c>
      <c r="E151" s="18">
        <v>275</v>
      </c>
      <c r="F151" s="19">
        <f>ROUND(E151*C151,2)</f>
        <v>2750</v>
      </c>
    </row>
    <row r="152" spans="1:6" ht="15.6" thickBot="1" x14ac:dyDescent="0.3">
      <c r="A152" s="14"/>
      <c r="B152" s="133"/>
      <c r="C152" s="16"/>
      <c r="D152" s="84"/>
      <c r="E152" s="18"/>
      <c r="F152" s="19"/>
    </row>
    <row r="153" spans="1:6" ht="16.8" thickTop="1" thickBot="1" x14ac:dyDescent="0.35">
      <c r="A153" s="32"/>
      <c r="B153" s="33" t="s">
        <v>69</v>
      </c>
      <c r="C153" s="34"/>
      <c r="D153" s="35"/>
      <c r="E153" s="36"/>
      <c r="F153" s="37" t="e">
        <f>SUM(F147:F152)</f>
        <v>#REF!</v>
      </c>
    </row>
    <row r="154" spans="1:6" ht="13.8" thickTop="1" x14ac:dyDescent="0.25"/>
    <row r="155" spans="1:6" ht="15.6" x14ac:dyDescent="0.25">
      <c r="A155" s="134">
        <v>20</v>
      </c>
      <c r="B155" s="135" t="s">
        <v>462</v>
      </c>
      <c r="C155" s="136"/>
      <c r="D155" s="137"/>
      <c r="E155" s="136"/>
      <c r="F155" s="138"/>
    </row>
    <row r="156" spans="1:6" ht="15.6" x14ac:dyDescent="0.3">
      <c r="A156" s="139" t="s">
        <v>29</v>
      </c>
      <c r="B156" s="140" t="s">
        <v>30</v>
      </c>
      <c r="C156" s="141" t="s">
        <v>2</v>
      </c>
      <c r="D156" s="142" t="s">
        <v>1</v>
      </c>
      <c r="E156" s="143" t="s">
        <v>3</v>
      </c>
      <c r="F156" s="144" t="s">
        <v>31</v>
      </c>
    </row>
    <row r="157" spans="1:6" ht="15.6" x14ac:dyDescent="0.25">
      <c r="A157" s="145"/>
      <c r="B157" s="146"/>
      <c r="C157" s="147"/>
      <c r="D157" s="148"/>
      <c r="E157" s="147"/>
      <c r="F157" s="149"/>
    </row>
    <row r="158" spans="1:6" ht="15" x14ac:dyDescent="0.25">
      <c r="A158" s="150" t="s">
        <v>32</v>
      </c>
      <c r="B158" s="133" t="s">
        <v>91</v>
      </c>
      <c r="C158" s="147">
        <v>1.1000000000000001</v>
      </c>
      <c r="D158" s="148" t="s">
        <v>26</v>
      </c>
      <c r="E158" s="147" t="e">
        <f>E147</f>
        <v>#REF!</v>
      </c>
      <c r="F158" s="149" t="e">
        <f>ROUND(E158*C158,2)</f>
        <v>#REF!</v>
      </c>
    </row>
    <row r="159" spans="1:6" ht="15" x14ac:dyDescent="0.25">
      <c r="A159" s="150" t="s">
        <v>35</v>
      </c>
      <c r="B159" s="151" t="s">
        <v>16</v>
      </c>
      <c r="C159" s="147">
        <v>1.4</v>
      </c>
      <c r="D159" s="148" t="s">
        <v>92</v>
      </c>
      <c r="E159" s="147">
        <v>2350</v>
      </c>
      <c r="F159" s="149">
        <f>ROUND(E159*C159,2)</f>
        <v>3290</v>
      </c>
    </row>
    <row r="160" spans="1:6" ht="15" x14ac:dyDescent="0.25">
      <c r="A160" s="150" t="s">
        <v>38</v>
      </c>
      <c r="B160" s="151" t="s">
        <v>97</v>
      </c>
      <c r="C160" s="147">
        <v>2.8</v>
      </c>
      <c r="D160" s="148" t="s">
        <v>94</v>
      </c>
      <c r="E160" s="147">
        <v>55</v>
      </c>
      <c r="F160" s="149">
        <f>ROUND(E160*C160,2)</f>
        <v>154</v>
      </c>
    </row>
    <row r="161" spans="1:6" ht="15" x14ac:dyDescent="0.25">
      <c r="A161" s="152" t="s">
        <v>39</v>
      </c>
      <c r="B161" s="366" t="s">
        <v>463</v>
      </c>
      <c r="C161" s="147">
        <v>66.66</v>
      </c>
      <c r="D161" s="148" t="s">
        <v>18</v>
      </c>
      <c r="E161" s="147">
        <v>60</v>
      </c>
      <c r="F161" s="149">
        <f>ROUND(E161*C161,2)</f>
        <v>3999.6</v>
      </c>
    </row>
    <row r="162" spans="1:6" ht="15" x14ac:dyDescent="0.25">
      <c r="A162" s="152" t="s">
        <v>41</v>
      </c>
      <c r="B162" s="366" t="s">
        <v>464</v>
      </c>
      <c r="C162" s="147">
        <v>1.4</v>
      </c>
      <c r="D162" s="148" t="s">
        <v>92</v>
      </c>
      <c r="E162" s="147">
        <v>250</v>
      </c>
      <c r="F162" s="149">
        <f>ROUND(E162*C162,2)</f>
        <v>350</v>
      </c>
    </row>
    <row r="163" spans="1:6" ht="16.2" thickBot="1" x14ac:dyDescent="0.35">
      <c r="A163" s="153"/>
      <c r="B163" s="154"/>
      <c r="C163" s="155"/>
      <c r="D163" s="156"/>
      <c r="E163" s="157"/>
      <c r="F163" s="158"/>
    </row>
    <row r="164" spans="1:6" ht="16.8" thickTop="1" thickBot="1" x14ac:dyDescent="0.35">
      <c r="A164" s="159"/>
      <c r="B164" s="160" t="s">
        <v>465</v>
      </c>
      <c r="C164" s="161"/>
      <c r="D164" s="162"/>
      <c r="E164" s="161"/>
      <c r="F164" s="163" t="e">
        <f>SUM(F158:F163)</f>
        <v>#REF!</v>
      </c>
    </row>
    <row r="165" spans="1:6" ht="13.8" thickTop="1" x14ac:dyDescent="0.25"/>
    <row r="166" spans="1:6" ht="16.2" thickBot="1" x14ac:dyDescent="0.35">
      <c r="A166" s="367">
        <v>30</v>
      </c>
      <c r="B166" s="368" t="s">
        <v>468</v>
      </c>
      <c r="C166" s="369"/>
      <c r="D166" s="370"/>
      <c r="E166" s="371"/>
      <c r="F166" s="371"/>
    </row>
    <row r="167" spans="1:6" ht="16.2" thickTop="1" x14ac:dyDescent="0.3">
      <c r="A167" s="372" t="s">
        <v>29</v>
      </c>
      <c r="B167" s="9" t="s">
        <v>30</v>
      </c>
      <c r="C167" s="10" t="s">
        <v>2</v>
      </c>
      <c r="D167" s="11" t="s">
        <v>1</v>
      </c>
      <c r="E167" s="12" t="s">
        <v>3</v>
      </c>
      <c r="F167" s="13" t="s">
        <v>31</v>
      </c>
    </row>
    <row r="168" spans="1:6" ht="15" x14ac:dyDescent="0.25">
      <c r="A168" s="373" t="s">
        <v>32</v>
      </c>
      <c r="B168" s="374" t="s">
        <v>469</v>
      </c>
      <c r="C168" s="375">
        <v>13</v>
      </c>
      <c r="D168" s="376" t="s">
        <v>52</v>
      </c>
      <c r="E168" s="377">
        <v>24</v>
      </c>
      <c r="F168" s="378">
        <f t="shared" ref="F168:F174" si="1">ROUND(C168*E168,2)</f>
        <v>312</v>
      </c>
    </row>
    <row r="169" spans="1:6" ht="15" x14ac:dyDescent="0.25">
      <c r="A169" s="373" t="s">
        <v>35</v>
      </c>
      <c r="B169" s="374" t="s">
        <v>84</v>
      </c>
      <c r="C169" s="379">
        <v>0.03</v>
      </c>
      <c r="D169" s="376" t="s">
        <v>173</v>
      </c>
      <c r="E169" s="377" t="e">
        <f>E135</f>
        <v>#REF!</v>
      </c>
      <c r="F169" s="378" t="e">
        <f t="shared" si="1"/>
        <v>#REF!</v>
      </c>
    </row>
    <row r="170" spans="1:6" ht="15" x14ac:dyDescent="0.25">
      <c r="A170" s="373" t="s">
        <v>38</v>
      </c>
      <c r="B170" s="380" t="s">
        <v>470</v>
      </c>
      <c r="C170" s="379">
        <v>0.02</v>
      </c>
      <c r="D170" s="376" t="s">
        <v>173</v>
      </c>
      <c r="E170" s="377" t="e">
        <f>E136</f>
        <v>#REF!</v>
      </c>
      <c r="F170" s="378" t="e">
        <f t="shared" si="1"/>
        <v>#REF!</v>
      </c>
    </row>
    <row r="171" spans="1:6" ht="15" x14ac:dyDescent="0.25">
      <c r="A171" s="373" t="s">
        <v>39</v>
      </c>
      <c r="B171" s="374" t="s">
        <v>471</v>
      </c>
      <c r="C171" s="379">
        <v>0.03</v>
      </c>
      <c r="D171" s="376" t="s">
        <v>17</v>
      </c>
      <c r="E171" s="377">
        <v>2350</v>
      </c>
      <c r="F171" s="378">
        <f t="shared" si="1"/>
        <v>70.5</v>
      </c>
    </row>
    <row r="172" spans="1:6" ht="15" x14ac:dyDescent="0.25">
      <c r="A172" s="373" t="s">
        <v>41</v>
      </c>
      <c r="B172" s="374" t="s">
        <v>472</v>
      </c>
      <c r="C172" s="375">
        <v>13</v>
      </c>
      <c r="D172" s="376" t="s">
        <v>52</v>
      </c>
      <c r="E172" s="377">
        <v>2.2000000000000002</v>
      </c>
      <c r="F172" s="378">
        <f t="shared" si="1"/>
        <v>28.6</v>
      </c>
    </row>
    <row r="173" spans="1:6" ht="15" x14ac:dyDescent="0.25">
      <c r="A173" s="373" t="s">
        <v>43</v>
      </c>
      <c r="B173" s="374" t="s">
        <v>473</v>
      </c>
      <c r="C173" s="375">
        <f>C172</f>
        <v>13</v>
      </c>
      <c r="D173" s="376" t="s">
        <v>52</v>
      </c>
      <c r="E173" s="377">
        <v>3</v>
      </c>
      <c r="F173" s="378">
        <f t="shared" si="1"/>
        <v>39</v>
      </c>
    </row>
    <row r="174" spans="1:6" ht="15" x14ac:dyDescent="0.25">
      <c r="A174" s="373" t="s">
        <v>45</v>
      </c>
      <c r="B174" s="374" t="s">
        <v>474</v>
      </c>
      <c r="C174" s="375">
        <f>C172</f>
        <v>13</v>
      </c>
      <c r="D174" s="376" t="s">
        <v>52</v>
      </c>
      <c r="E174" s="377">
        <v>15</v>
      </c>
      <c r="F174" s="378">
        <f t="shared" si="1"/>
        <v>195</v>
      </c>
    </row>
    <row r="175" spans="1:6" ht="15.6" thickBot="1" x14ac:dyDescent="0.3">
      <c r="A175" s="381"/>
      <c r="B175" s="382"/>
      <c r="C175" s="383"/>
      <c r="D175" s="384"/>
      <c r="E175" s="385"/>
      <c r="F175" s="386"/>
    </row>
    <row r="176" spans="1:6" ht="16.8" thickTop="1" thickBot="1" x14ac:dyDescent="0.35">
      <c r="A176" s="387"/>
      <c r="B176" s="33" t="s">
        <v>100</v>
      </c>
      <c r="C176" s="34"/>
      <c r="D176" s="35"/>
      <c r="E176" s="36"/>
      <c r="F176" s="37" t="e">
        <f>SUM(F168:F175)</f>
        <v>#REF!</v>
      </c>
    </row>
    <row r="177" spans="1:6" ht="13.8" thickTop="1" x14ac:dyDescent="0.25"/>
    <row r="178" spans="1:6" ht="15.6" x14ac:dyDescent="0.25">
      <c r="A178" s="896" t="s">
        <v>477</v>
      </c>
      <c r="B178" s="897"/>
      <c r="C178" s="897"/>
      <c r="D178" s="897"/>
      <c r="E178" s="897"/>
      <c r="F178" s="898"/>
    </row>
    <row r="180" spans="1:6" ht="16.2" thickBot="1" x14ac:dyDescent="0.3">
      <c r="A180" s="127">
        <v>89</v>
      </c>
      <c r="B180" s="128" t="s">
        <v>478</v>
      </c>
      <c r="C180" s="129"/>
      <c r="D180" s="130"/>
      <c r="E180" s="131"/>
      <c r="F180" s="132"/>
    </row>
    <row r="181" spans="1:6" ht="16.2" thickTop="1" x14ac:dyDescent="0.3">
      <c r="A181" s="8" t="s">
        <v>29</v>
      </c>
      <c r="B181" s="9" t="s">
        <v>30</v>
      </c>
      <c r="C181" s="10" t="s">
        <v>2</v>
      </c>
      <c r="D181" s="11" t="s">
        <v>1</v>
      </c>
      <c r="E181" s="12" t="s">
        <v>3</v>
      </c>
      <c r="F181" s="13" t="s">
        <v>31</v>
      </c>
    </row>
    <row r="182" spans="1:6" ht="15" x14ac:dyDescent="0.25">
      <c r="A182" s="164" t="s">
        <v>32</v>
      </c>
      <c r="B182" s="165" t="s">
        <v>479</v>
      </c>
      <c r="C182" s="166">
        <v>1.44</v>
      </c>
      <c r="D182" s="17" t="s">
        <v>26</v>
      </c>
      <c r="E182" s="113">
        <v>188.31</v>
      </c>
      <c r="F182" s="125">
        <f>ROUND(C182*E182,2)</f>
        <v>271.17</v>
      </c>
    </row>
    <row r="183" spans="1:6" ht="15.6" x14ac:dyDescent="0.3">
      <c r="A183" s="164" t="s">
        <v>35</v>
      </c>
      <c r="B183" s="165" t="s">
        <v>480</v>
      </c>
      <c r="C183" s="166">
        <v>2.6</v>
      </c>
      <c r="D183" s="17" t="s">
        <v>27</v>
      </c>
      <c r="E183" s="113" t="e">
        <f>F176</f>
        <v>#REF!</v>
      </c>
      <c r="F183" s="125" t="e">
        <f>ROUND(C183*E183,2)</f>
        <v>#REF!</v>
      </c>
    </row>
    <row r="184" spans="1:6" ht="15" x14ac:dyDescent="0.25">
      <c r="A184" s="164" t="s">
        <v>38</v>
      </c>
      <c r="B184" s="165" t="s">
        <v>481</v>
      </c>
      <c r="C184" s="166">
        <v>0.08</v>
      </c>
      <c r="D184" s="17" t="s">
        <v>26</v>
      </c>
      <c r="E184" s="113" t="e">
        <f>F153</f>
        <v>#REF!</v>
      </c>
      <c r="F184" s="125" t="e">
        <f>ROUND(C184*E184,2)</f>
        <v>#REF!</v>
      </c>
    </row>
    <row r="185" spans="1:6" ht="15" x14ac:dyDescent="0.25">
      <c r="A185" s="164" t="s">
        <v>39</v>
      </c>
      <c r="B185" s="165" t="s">
        <v>482</v>
      </c>
      <c r="C185" s="388">
        <v>1</v>
      </c>
      <c r="D185" s="17" t="s">
        <v>1</v>
      </c>
      <c r="E185" s="113">
        <v>700</v>
      </c>
      <c r="F185" s="125">
        <f>ROUND(C185*E185,2)</f>
        <v>700</v>
      </c>
    </row>
    <row r="186" spans="1:6" ht="15" x14ac:dyDescent="0.25">
      <c r="A186" s="164" t="s">
        <v>41</v>
      </c>
      <c r="B186" s="15" t="s">
        <v>483</v>
      </c>
      <c r="C186" s="166">
        <v>1</v>
      </c>
      <c r="D186" s="17" t="s">
        <v>26</v>
      </c>
      <c r="E186" s="113">
        <v>184</v>
      </c>
      <c r="F186" s="125">
        <f>+E186/C186</f>
        <v>184</v>
      </c>
    </row>
    <row r="187" spans="1:6" ht="16.2" thickBot="1" x14ac:dyDescent="0.35">
      <c r="A187" s="26"/>
      <c r="B187" s="87"/>
      <c r="C187" s="126"/>
      <c r="D187" s="167"/>
      <c r="E187" s="168"/>
      <c r="F187" s="169"/>
    </row>
    <row r="188" spans="1:6" ht="16.8" thickTop="1" thickBot="1" x14ac:dyDescent="0.35">
      <c r="A188" s="32"/>
      <c r="B188" s="33" t="s">
        <v>101</v>
      </c>
      <c r="C188" s="34"/>
      <c r="D188" s="35"/>
      <c r="E188" s="36"/>
      <c r="F188" s="37" t="e">
        <f>SUM(F182:F187)</f>
        <v>#REF!</v>
      </c>
    </row>
    <row r="189" spans="1:6" ht="13.8" thickTop="1" x14ac:dyDescent="0.25"/>
    <row r="190" spans="1:6" ht="15.6" x14ac:dyDescent="0.25">
      <c r="A190" s="389">
        <v>17</v>
      </c>
      <c r="B190" s="390" t="s">
        <v>484</v>
      </c>
      <c r="C190" s="391"/>
      <c r="D190" s="392"/>
      <c r="E190" s="391"/>
      <c r="F190" s="393"/>
    </row>
    <row r="191" spans="1:6" ht="15.6" x14ac:dyDescent="0.3">
      <c r="A191" s="170" t="s">
        <v>29</v>
      </c>
      <c r="B191" s="171" t="s">
        <v>30</v>
      </c>
      <c r="C191" s="172" t="s">
        <v>2</v>
      </c>
      <c r="D191" s="173" t="s">
        <v>1</v>
      </c>
      <c r="E191" s="174" t="s">
        <v>3</v>
      </c>
      <c r="F191" s="175" t="s">
        <v>31</v>
      </c>
    </row>
    <row r="192" spans="1:6" ht="15" x14ac:dyDescent="0.25">
      <c r="A192" s="394" t="s">
        <v>35</v>
      </c>
      <c r="B192" s="395" t="s">
        <v>102</v>
      </c>
      <c r="C192" s="396">
        <v>0.03</v>
      </c>
      <c r="D192" s="397" t="s">
        <v>26</v>
      </c>
      <c r="E192" s="396" t="e">
        <f>E170</f>
        <v>#REF!</v>
      </c>
      <c r="F192" s="398" t="e">
        <f>ROUND(E192*C192,2)</f>
        <v>#REF!</v>
      </c>
    </row>
    <row r="193" spans="1:6" ht="15" x14ac:dyDescent="0.25">
      <c r="A193" s="394" t="s">
        <v>41</v>
      </c>
      <c r="B193" s="399" t="s">
        <v>485</v>
      </c>
      <c r="C193" s="396">
        <v>1</v>
      </c>
      <c r="D193" s="397" t="s">
        <v>130</v>
      </c>
      <c r="E193" s="396">
        <v>120</v>
      </c>
      <c r="F193" s="398">
        <f>ROUND(E193*C193,2)</f>
        <v>120</v>
      </c>
    </row>
    <row r="194" spans="1:6" ht="16.2" thickBot="1" x14ac:dyDescent="0.35">
      <c r="A194" s="400"/>
      <c r="B194" s="401"/>
      <c r="C194" s="402"/>
      <c r="D194" s="403"/>
      <c r="E194" s="404"/>
      <c r="F194" s="405"/>
    </row>
    <row r="195" spans="1:6" ht="16.8" thickTop="1" thickBot="1" x14ac:dyDescent="0.35">
      <c r="A195" s="406"/>
      <c r="B195" s="407" t="s">
        <v>101</v>
      </c>
      <c r="C195" s="408"/>
      <c r="D195" s="409"/>
      <c r="E195" s="408"/>
      <c r="F195" s="410" t="e">
        <f>SUM(F192:F194)</f>
        <v>#REF!</v>
      </c>
    </row>
    <row r="196" spans="1:6" ht="13.8" thickTop="1" x14ac:dyDescent="0.25"/>
    <row r="198" spans="1:6" ht="15.6" x14ac:dyDescent="0.25">
      <c r="A198" s="896" t="s">
        <v>486</v>
      </c>
      <c r="B198" s="897"/>
      <c r="C198" s="897"/>
      <c r="D198" s="897"/>
      <c r="E198" s="897"/>
      <c r="F198" s="898"/>
    </row>
    <row r="199" spans="1:6" ht="15.6" x14ac:dyDescent="0.25">
      <c r="A199" s="411">
        <v>22</v>
      </c>
      <c r="B199" s="412" t="s">
        <v>487</v>
      </c>
      <c r="C199" s="413"/>
      <c r="D199" s="414"/>
      <c r="E199" s="413"/>
      <c r="F199" s="415"/>
    </row>
    <row r="200" spans="1:6" ht="15.6" x14ac:dyDescent="0.3">
      <c r="A200" s="139" t="s">
        <v>29</v>
      </c>
      <c r="B200" s="140" t="s">
        <v>30</v>
      </c>
      <c r="C200" s="141" t="s">
        <v>2</v>
      </c>
      <c r="D200" s="142" t="s">
        <v>1</v>
      </c>
      <c r="E200" s="143" t="s">
        <v>3</v>
      </c>
      <c r="F200" s="144" t="s">
        <v>31</v>
      </c>
    </row>
    <row r="201" spans="1:6" ht="15.6" x14ac:dyDescent="0.25">
      <c r="A201" s="145"/>
      <c r="B201" s="146"/>
      <c r="C201" s="147"/>
      <c r="D201" s="148"/>
      <c r="E201" s="147"/>
      <c r="F201" s="149"/>
    </row>
    <row r="202" spans="1:6" ht="15" x14ac:dyDescent="0.25">
      <c r="A202" s="150" t="s">
        <v>32</v>
      </c>
      <c r="B202" s="416" t="s">
        <v>488</v>
      </c>
      <c r="C202" s="147">
        <v>1</v>
      </c>
      <c r="D202" s="148" t="s">
        <v>26</v>
      </c>
      <c r="E202" s="147">
        <f>Hormigones!F74</f>
        <v>4520.28</v>
      </c>
      <c r="F202" s="149">
        <f>ROUND(E202*C202,2)</f>
        <v>4520.28</v>
      </c>
    </row>
    <row r="203" spans="1:6" ht="15" x14ac:dyDescent="0.25">
      <c r="A203" s="150" t="s">
        <v>38</v>
      </c>
      <c r="B203" s="176" t="s">
        <v>489</v>
      </c>
      <c r="C203" s="147">
        <v>20</v>
      </c>
      <c r="D203" s="148" t="s">
        <v>27</v>
      </c>
      <c r="E203" s="147">
        <v>20</v>
      </c>
      <c r="F203" s="149">
        <f>ROUND(E203*C203,2)</f>
        <v>400</v>
      </c>
    </row>
    <row r="204" spans="1:6" ht="15.6" thickBot="1" x14ac:dyDescent="0.3">
      <c r="A204" s="152"/>
      <c r="B204" s="366"/>
      <c r="C204" s="147"/>
      <c r="D204" s="417"/>
      <c r="E204" s="147"/>
      <c r="F204" s="149"/>
    </row>
    <row r="205" spans="1:6" ht="16.8" thickTop="1" thickBot="1" x14ac:dyDescent="0.35">
      <c r="A205" s="159"/>
      <c r="B205" s="160" t="s">
        <v>69</v>
      </c>
      <c r="C205" s="161"/>
      <c r="D205" s="162"/>
      <c r="E205" s="161"/>
      <c r="F205" s="163">
        <f>SUM(F202:F204)</f>
        <v>4920.28</v>
      </c>
    </row>
    <row r="206" spans="1:6" ht="13.8" thickTop="1" x14ac:dyDescent="0.25"/>
    <row r="207" spans="1:6" ht="16.2" thickBot="1" x14ac:dyDescent="0.35">
      <c r="A207" s="177">
        <v>19</v>
      </c>
      <c r="B207" s="178" t="s">
        <v>490</v>
      </c>
      <c r="C207" s="179"/>
      <c r="D207" s="180"/>
      <c r="E207" s="181"/>
      <c r="F207" s="182"/>
    </row>
    <row r="208" spans="1:6" ht="16.2" thickTop="1" x14ac:dyDescent="0.3">
      <c r="A208" s="183" t="s">
        <v>29</v>
      </c>
      <c r="B208" s="184" t="s">
        <v>30</v>
      </c>
      <c r="C208" s="185" t="s">
        <v>2</v>
      </c>
      <c r="D208" s="186" t="s">
        <v>1</v>
      </c>
      <c r="E208" s="187" t="s">
        <v>3</v>
      </c>
      <c r="F208" s="188" t="s">
        <v>31</v>
      </c>
    </row>
    <row r="209" spans="1:6" ht="15" x14ac:dyDescent="0.25">
      <c r="A209" s="189" t="s">
        <v>32</v>
      </c>
      <c r="B209" s="190" t="s">
        <v>454</v>
      </c>
      <c r="C209" s="191">
        <v>1.1000000000000001</v>
      </c>
      <c r="D209" s="192" t="s">
        <v>75</v>
      </c>
      <c r="E209" s="191">
        <f>E202</f>
        <v>4520.28</v>
      </c>
      <c r="F209" s="193">
        <f>+E209*C209</f>
        <v>4972.308</v>
      </c>
    </row>
    <row r="210" spans="1:6" ht="15" x14ac:dyDescent="0.25">
      <c r="A210" s="189" t="s">
        <v>35</v>
      </c>
      <c r="B210" s="194" t="s">
        <v>16</v>
      </c>
      <c r="C210" s="191">
        <v>0.9</v>
      </c>
      <c r="D210" s="195" t="s">
        <v>17</v>
      </c>
      <c r="E210" s="191">
        <v>2350</v>
      </c>
      <c r="F210" s="193">
        <f>+E210*C210</f>
        <v>2115</v>
      </c>
    </row>
    <row r="211" spans="1:6" ht="15" x14ac:dyDescent="0.25">
      <c r="A211" s="189" t="s">
        <v>38</v>
      </c>
      <c r="B211" s="194" t="s">
        <v>97</v>
      </c>
      <c r="C211" s="191">
        <f>C210*2</f>
        <v>1.8</v>
      </c>
      <c r="D211" s="195" t="s">
        <v>98</v>
      </c>
      <c r="E211" s="191">
        <v>55</v>
      </c>
      <c r="F211" s="193">
        <f>+E211*C211</f>
        <v>99</v>
      </c>
    </row>
    <row r="212" spans="1:6" ht="15" x14ac:dyDescent="0.25">
      <c r="A212" s="196" t="s">
        <v>39</v>
      </c>
      <c r="B212" s="194" t="s">
        <v>99</v>
      </c>
      <c r="C212" s="191">
        <f>C210</f>
        <v>0.9</v>
      </c>
      <c r="D212" s="195" t="s">
        <v>17</v>
      </c>
      <c r="E212" s="191">
        <v>200</v>
      </c>
      <c r="F212" s="193">
        <f>+E212*C212</f>
        <v>180</v>
      </c>
    </row>
    <row r="213" spans="1:6" ht="15.6" thickBot="1" x14ac:dyDescent="0.3">
      <c r="A213" s="197"/>
      <c r="B213" s="198"/>
      <c r="C213" s="199"/>
      <c r="D213" s="200"/>
      <c r="E213" s="199"/>
      <c r="F213" s="201"/>
    </row>
    <row r="214" spans="1:6" ht="16.8" thickTop="1" thickBot="1" x14ac:dyDescent="0.35">
      <c r="A214" s="202"/>
      <c r="B214" s="203" t="s">
        <v>69</v>
      </c>
      <c r="C214" s="204"/>
      <c r="D214" s="205"/>
      <c r="E214" s="204"/>
      <c r="F214" s="206">
        <f>SUM(F209:F213)</f>
        <v>7366.308</v>
      </c>
    </row>
    <row r="215" spans="1:6" ht="13.8" thickTop="1" x14ac:dyDescent="0.25"/>
    <row r="216" spans="1:6" ht="16.2" thickBot="1" x14ac:dyDescent="0.35">
      <c r="A216" s="418">
        <v>27</v>
      </c>
      <c r="B216" s="419" t="s">
        <v>491</v>
      </c>
      <c r="C216" s="420"/>
      <c r="D216" s="421"/>
      <c r="E216" s="422"/>
      <c r="F216" s="423"/>
    </row>
    <row r="217" spans="1:6" ht="16.2" thickTop="1" x14ac:dyDescent="0.3">
      <c r="A217" s="207" t="s">
        <v>29</v>
      </c>
      <c r="B217" s="208" t="s">
        <v>30</v>
      </c>
      <c r="C217" s="209" t="s">
        <v>2</v>
      </c>
      <c r="D217" s="210" t="s">
        <v>1</v>
      </c>
      <c r="E217" s="211" t="s">
        <v>3</v>
      </c>
      <c r="F217" s="212" t="s">
        <v>31</v>
      </c>
    </row>
    <row r="218" spans="1:6" ht="15" x14ac:dyDescent="0.25">
      <c r="A218" s="424" t="s">
        <v>32</v>
      </c>
      <c r="B218" s="425" t="s">
        <v>448</v>
      </c>
      <c r="C218" s="426">
        <v>1.1000000000000001</v>
      </c>
      <c r="D218" s="427" t="s">
        <v>75</v>
      </c>
      <c r="E218" s="426" t="e">
        <f>#REF!</f>
        <v>#REF!</v>
      </c>
      <c r="F218" s="193" t="e">
        <f>+E218*C218</f>
        <v>#REF!</v>
      </c>
    </row>
    <row r="219" spans="1:6" ht="15" x14ac:dyDescent="0.25">
      <c r="A219" s="428" t="s">
        <v>35</v>
      </c>
      <c r="B219" s="429" t="s">
        <v>16</v>
      </c>
      <c r="C219" s="426">
        <v>1.1399999999999999</v>
      </c>
      <c r="D219" s="430" t="s">
        <v>17</v>
      </c>
      <c r="E219" s="426">
        <v>2350</v>
      </c>
      <c r="F219" s="193">
        <f>+E219*C219</f>
        <v>2678.9999999999995</v>
      </c>
    </row>
    <row r="220" spans="1:6" ht="15" x14ac:dyDescent="0.25">
      <c r="A220" s="428" t="s">
        <v>38</v>
      </c>
      <c r="B220" s="429" t="s">
        <v>97</v>
      </c>
      <c r="C220" s="426">
        <f>+C219*2</f>
        <v>2.2799999999999998</v>
      </c>
      <c r="D220" s="430" t="s">
        <v>98</v>
      </c>
      <c r="E220" s="426">
        <v>55</v>
      </c>
      <c r="F220" s="193">
        <f>+E220*C220</f>
        <v>125.39999999999999</v>
      </c>
    </row>
    <row r="221" spans="1:6" ht="15" x14ac:dyDescent="0.25">
      <c r="A221" s="431" t="s">
        <v>39</v>
      </c>
      <c r="B221" s="429" t="s">
        <v>492</v>
      </c>
      <c r="C221" s="426">
        <f>+C219</f>
        <v>1.1399999999999999</v>
      </c>
      <c r="D221" s="430" t="s">
        <v>17</v>
      </c>
      <c r="E221" s="426">
        <v>250</v>
      </c>
      <c r="F221" s="193">
        <f>+E221*C221</f>
        <v>285</v>
      </c>
    </row>
    <row r="222" spans="1:6" ht="15" x14ac:dyDescent="0.25">
      <c r="A222" s="432" t="s">
        <v>41</v>
      </c>
      <c r="B222" s="433" t="s">
        <v>493</v>
      </c>
      <c r="C222" s="434">
        <v>6.67</v>
      </c>
      <c r="D222" s="435" t="s">
        <v>5</v>
      </c>
      <c r="E222" s="434">
        <v>350</v>
      </c>
      <c r="F222" s="193">
        <f>+E222*C222</f>
        <v>2334.5</v>
      </c>
    </row>
    <row r="223" spans="1:6" ht="15.6" thickBot="1" x14ac:dyDescent="0.3">
      <c r="A223" s="436"/>
      <c r="B223" s="437"/>
      <c r="C223" s="437"/>
      <c r="D223" s="438"/>
      <c r="E223" s="439"/>
      <c r="F223" s="440"/>
    </row>
    <row r="224" spans="1:6" ht="16.8" thickTop="1" thickBot="1" x14ac:dyDescent="0.35">
      <c r="A224" s="213"/>
      <c r="B224" s="214" t="s">
        <v>69</v>
      </c>
      <c r="C224" s="215"/>
      <c r="D224" s="216"/>
      <c r="E224" s="215"/>
      <c r="F224" s="217" t="e">
        <f>SUM(F218:F223)</f>
        <v>#REF!</v>
      </c>
    </row>
    <row r="225" spans="1:6" ht="13.8" thickTop="1" x14ac:dyDescent="0.25"/>
    <row r="226" spans="1:6" ht="15.6" x14ac:dyDescent="0.3">
      <c r="A226" s="441">
        <v>21</v>
      </c>
      <c r="B226" s="390" t="s">
        <v>494</v>
      </c>
      <c r="C226" s="442"/>
      <c r="D226" s="392"/>
      <c r="E226" s="442"/>
      <c r="F226" s="443"/>
    </row>
    <row r="227" spans="1:6" ht="15.6" x14ac:dyDescent="0.3">
      <c r="A227" s="139" t="s">
        <v>29</v>
      </c>
      <c r="B227" s="140" t="s">
        <v>30</v>
      </c>
      <c r="C227" s="141" t="s">
        <v>2</v>
      </c>
      <c r="D227" s="142" t="s">
        <v>1</v>
      </c>
      <c r="E227" s="143" t="s">
        <v>3</v>
      </c>
      <c r="F227" s="144" t="s">
        <v>31</v>
      </c>
    </row>
    <row r="228" spans="1:6" ht="15.6" x14ac:dyDescent="0.3">
      <c r="A228" s="444"/>
      <c r="B228" s="445" t="s">
        <v>23</v>
      </c>
      <c r="C228" s="446" t="s">
        <v>23</v>
      </c>
      <c r="D228" s="447"/>
      <c r="E228" s="446"/>
      <c r="F228" s="448"/>
    </row>
    <row r="229" spans="1:6" ht="15" x14ac:dyDescent="0.25">
      <c r="A229" s="449" t="s">
        <v>32</v>
      </c>
      <c r="B229" s="425" t="s">
        <v>448</v>
      </c>
      <c r="C229" s="450">
        <v>1.1000000000000001</v>
      </c>
      <c r="D229" s="451" t="s">
        <v>6</v>
      </c>
      <c r="E229" s="452" t="e">
        <f>E218</f>
        <v>#REF!</v>
      </c>
      <c r="F229" s="149" t="e">
        <f>ROUND(E229*C229,2)</f>
        <v>#REF!</v>
      </c>
    </row>
    <row r="230" spans="1:6" ht="15" x14ac:dyDescent="0.25">
      <c r="A230" s="449" t="s">
        <v>35</v>
      </c>
      <c r="B230" s="218" t="s">
        <v>16</v>
      </c>
      <c r="C230" s="450">
        <v>2.73</v>
      </c>
      <c r="D230" s="451" t="s">
        <v>92</v>
      </c>
      <c r="E230" s="452">
        <v>2350</v>
      </c>
      <c r="F230" s="453">
        <f>ROUND(C230*E230,2)</f>
        <v>6415.5</v>
      </c>
    </row>
    <row r="231" spans="1:6" ht="15" x14ac:dyDescent="0.25">
      <c r="A231" s="449" t="s">
        <v>38</v>
      </c>
      <c r="B231" s="218" t="s">
        <v>93</v>
      </c>
      <c r="C231" s="450">
        <f>C230*2</f>
        <v>5.46</v>
      </c>
      <c r="D231" s="451" t="s">
        <v>94</v>
      </c>
      <c r="E231" s="452">
        <v>55</v>
      </c>
      <c r="F231" s="453">
        <f>ROUND(C231*E231,2)</f>
        <v>300.3</v>
      </c>
    </row>
    <row r="232" spans="1:6" ht="15" x14ac:dyDescent="0.25">
      <c r="A232" s="449" t="s">
        <v>39</v>
      </c>
      <c r="B232" s="218" t="s">
        <v>95</v>
      </c>
      <c r="C232" s="450">
        <f>+C230</f>
        <v>2.73</v>
      </c>
      <c r="D232" s="451" t="s">
        <v>92</v>
      </c>
      <c r="E232" s="452">
        <v>200</v>
      </c>
      <c r="F232" s="453">
        <f>ROUND(C232*E232,2)</f>
        <v>546</v>
      </c>
    </row>
    <row r="233" spans="1:6" ht="15" x14ac:dyDescent="0.25">
      <c r="A233" s="449" t="s">
        <v>41</v>
      </c>
      <c r="B233" s="454" t="s">
        <v>459</v>
      </c>
      <c r="C233" s="450">
        <v>13.33</v>
      </c>
      <c r="D233" s="451" t="s">
        <v>5</v>
      </c>
      <c r="E233" s="452">
        <v>350</v>
      </c>
      <c r="F233" s="453">
        <f>ROUND(C233*E233,2)</f>
        <v>4665.5</v>
      </c>
    </row>
    <row r="234" spans="1:6" ht="16.2" thickBot="1" x14ac:dyDescent="0.3">
      <c r="A234" s="455"/>
      <c r="B234" s="456"/>
      <c r="C234" s="457"/>
      <c r="D234" s="458"/>
      <c r="E234" s="457"/>
      <c r="F234" s="459"/>
    </row>
    <row r="235" spans="1:6" ht="16.8" thickTop="1" thickBot="1" x14ac:dyDescent="0.35">
      <c r="A235" s="460"/>
      <c r="B235" s="407" t="s">
        <v>69</v>
      </c>
      <c r="C235" s="461"/>
      <c r="D235" s="462"/>
      <c r="E235" s="461"/>
      <c r="F235" s="410" t="e">
        <f>SUM(F229:F234)</f>
        <v>#REF!</v>
      </c>
    </row>
    <row r="236" spans="1:6" ht="13.8" thickTop="1" x14ac:dyDescent="0.25"/>
    <row r="237" spans="1:6" ht="16.2" thickBot="1" x14ac:dyDescent="0.35">
      <c r="A237" s="463">
        <v>25</v>
      </c>
      <c r="B237" s="219" t="s">
        <v>495</v>
      </c>
      <c r="C237" s="464"/>
      <c r="D237" s="465"/>
      <c r="E237" s="466"/>
      <c r="F237" s="467"/>
    </row>
    <row r="238" spans="1:6" ht="16.2" thickTop="1" x14ac:dyDescent="0.3">
      <c r="A238" s="207" t="s">
        <v>29</v>
      </c>
      <c r="B238" s="208" t="s">
        <v>30</v>
      </c>
      <c r="C238" s="209" t="s">
        <v>2</v>
      </c>
      <c r="D238" s="210" t="s">
        <v>1</v>
      </c>
      <c r="E238" s="211" t="s">
        <v>3</v>
      </c>
      <c r="F238" s="212" t="s">
        <v>31</v>
      </c>
    </row>
    <row r="239" spans="1:6" ht="15" x14ac:dyDescent="0.25">
      <c r="A239" s="428" t="s">
        <v>32</v>
      </c>
      <c r="B239" s="468" t="s">
        <v>91</v>
      </c>
      <c r="C239" s="426">
        <v>1.1000000000000001</v>
      </c>
      <c r="D239" s="427" t="s">
        <v>75</v>
      </c>
      <c r="E239" s="426" t="e">
        <f>E229</f>
        <v>#REF!</v>
      </c>
      <c r="F239" s="193" t="e">
        <f>ROUND(E239*C239,2)</f>
        <v>#REF!</v>
      </c>
    </row>
    <row r="240" spans="1:6" ht="15" x14ac:dyDescent="0.25">
      <c r="A240" s="428" t="s">
        <v>35</v>
      </c>
      <c r="B240" s="429" t="s">
        <v>16</v>
      </c>
      <c r="C240" s="426">
        <v>1.67</v>
      </c>
      <c r="D240" s="430" t="s">
        <v>17</v>
      </c>
      <c r="E240" s="426">
        <v>2350</v>
      </c>
      <c r="F240" s="193">
        <f>ROUND(E240*C240,2)</f>
        <v>3924.5</v>
      </c>
    </row>
    <row r="241" spans="1:6" ht="15" x14ac:dyDescent="0.25">
      <c r="A241" s="428" t="s">
        <v>38</v>
      </c>
      <c r="B241" s="429" t="s">
        <v>97</v>
      </c>
      <c r="C241" s="426">
        <f>C240*2</f>
        <v>3.34</v>
      </c>
      <c r="D241" s="430" t="s">
        <v>98</v>
      </c>
      <c r="E241" s="426">
        <v>55</v>
      </c>
      <c r="F241" s="193">
        <f>ROUND(E241*C241,2)</f>
        <v>183.7</v>
      </c>
    </row>
    <row r="242" spans="1:6" ht="15" x14ac:dyDescent="0.25">
      <c r="A242" s="424" t="s">
        <v>39</v>
      </c>
      <c r="B242" s="425" t="s">
        <v>450</v>
      </c>
      <c r="C242" s="426">
        <v>10</v>
      </c>
      <c r="D242" s="430" t="s">
        <v>5</v>
      </c>
      <c r="E242" s="426">
        <v>275</v>
      </c>
      <c r="F242" s="193">
        <f>ROUND(E242*C242,2)</f>
        <v>2750</v>
      </c>
    </row>
    <row r="243" spans="1:6" ht="15" x14ac:dyDescent="0.25">
      <c r="A243" s="424" t="s">
        <v>41</v>
      </c>
      <c r="B243" s="425" t="s">
        <v>461</v>
      </c>
      <c r="C243" s="426">
        <f>C240</f>
        <v>1.67</v>
      </c>
      <c r="D243" s="430" t="s">
        <v>17</v>
      </c>
      <c r="E243" s="426">
        <v>250</v>
      </c>
      <c r="F243" s="193">
        <f>ROUND(E243*C243,2)</f>
        <v>417.5</v>
      </c>
    </row>
    <row r="244" spans="1:6" ht="15.6" thickBot="1" x14ac:dyDescent="0.3">
      <c r="A244" s="469"/>
      <c r="B244" s="433"/>
      <c r="C244" s="433"/>
      <c r="D244" s="434"/>
      <c r="E244" s="470"/>
      <c r="F244" s="471"/>
    </row>
    <row r="245" spans="1:6" ht="16.8" thickTop="1" thickBot="1" x14ac:dyDescent="0.35">
      <c r="A245" s="472"/>
      <c r="B245" s="214" t="s">
        <v>69</v>
      </c>
      <c r="C245" s="473"/>
      <c r="D245" s="474"/>
      <c r="E245" s="473"/>
      <c r="F245" s="217" t="e">
        <f>SUM(F239:F244)</f>
        <v>#REF!</v>
      </c>
    </row>
    <row r="246" spans="1:6" ht="13.8" thickTop="1" x14ac:dyDescent="0.25"/>
    <row r="247" spans="1:6" ht="15.6" x14ac:dyDescent="0.25">
      <c r="A247" s="134">
        <v>20</v>
      </c>
      <c r="B247" s="135" t="s">
        <v>462</v>
      </c>
      <c r="C247" s="136"/>
      <c r="D247" s="137"/>
      <c r="E247" s="136"/>
      <c r="F247" s="138"/>
    </row>
    <row r="248" spans="1:6" ht="15.6" x14ac:dyDescent="0.3">
      <c r="A248" s="139" t="s">
        <v>29</v>
      </c>
      <c r="B248" s="140" t="s">
        <v>30</v>
      </c>
      <c r="C248" s="141" t="s">
        <v>2</v>
      </c>
      <c r="D248" s="142" t="s">
        <v>1</v>
      </c>
      <c r="E248" s="143" t="s">
        <v>3</v>
      </c>
      <c r="F248" s="144" t="s">
        <v>31</v>
      </c>
    </row>
    <row r="249" spans="1:6" ht="15.6" x14ac:dyDescent="0.25">
      <c r="A249" s="145"/>
      <c r="B249" s="146"/>
      <c r="C249" s="147"/>
      <c r="D249" s="148"/>
      <c r="E249" s="147"/>
      <c r="F249" s="149"/>
    </row>
    <row r="250" spans="1:6" ht="15" x14ac:dyDescent="0.25">
      <c r="A250" s="150" t="s">
        <v>32</v>
      </c>
      <c r="B250" s="133" t="s">
        <v>91</v>
      </c>
      <c r="C250" s="147">
        <v>1.1000000000000001</v>
      </c>
      <c r="D250" s="148" t="s">
        <v>26</v>
      </c>
      <c r="E250" s="147" t="e">
        <f>E239</f>
        <v>#REF!</v>
      </c>
      <c r="F250" s="149" t="e">
        <f>ROUND(E250*C250,2)</f>
        <v>#REF!</v>
      </c>
    </row>
    <row r="251" spans="1:6" ht="15" x14ac:dyDescent="0.25">
      <c r="A251" s="150" t="s">
        <v>35</v>
      </c>
      <c r="B251" s="151" t="s">
        <v>16</v>
      </c>
      <c r="C251" s="147">
        <v>1.4</v>
      </c>
      <c r="D251" s="148" t="s">
        <v>92</v>
      </c>
      <c r="E251" s="147">
        <v>2350</v>
      </c>
      <c r="F251" s="149">
        <f>ROUND(E251*C251,2)</f>
        <v>3290</v>
      </c>
    </row>
    <row r="252" spans="1:6" ht="15" x14ac:dyDescent="0.25">
      <c r="A252" s="150" t="s">
        <v>38</v>
      </c>
      <c r="B252" s="151" t="s">
        <v>97</v>
      </c>
      <c r="C252" s="147">
        <v>2.8</v>
      </c>
      <c r="D252" s="148" t="s">
        <v>94</v>
      </c>
      <c r="E252" s="147">
        <v>55</v>
      </c>
      <c r="F252" s="149">
        <f>ROUND(E252*C252,2)</f>
        <v>154</v>
      </c>
    </row>
    <row r="253" spans="1:6" ht="15" x14ac:dyDescent="0.25">
      <c r="A253" s="152" t="s">
        <v>39</v>
      </c>
      <c r="B253" s="366" t="s">
        <v>463</v>
      </c>
      <c r="C253" s="147">
        <v>66.66</v>
      </c>
      <c r="D253" s="148" t="s">
        <v>18</v>
      </c>
      <c r="E253" s="147">
        <v>60</v>
      </c>
      <c r="F253" s="149">
        <f>ROUND(E253*C253,2)</f>
        <v>3999.6</v>
      </c>
    </row>
    <row r="254" spans="1:6" ht="15" x14ac:dyDescent="0.25">
      <c r="A254" s="152" t="s">
        <v>41</v>
      </c>
      <c r="B254" s="366" t="s">
        <v>464</v>
      </c>
      <c r="C254" s="147">
        <v>1.4</v>
      </c>
      <c r="D254" s="148" t="s">
        <v>92</v>
      </c>
      <c r="E254" s="147">
        <v>250</v>
      </c>
      <c r="F254" s="149">
        <f>ROUND(E254*C254,2)</f>
        <v>350</v>
      </c>
    </row>
    <row r="255" spans="1:6" ht="16.2" thickBot="1" x14ac:dyDescent="0.35">
      <c r="A255" s="153"/>
      <c r="B255" s="154"/>
      <c r="C255" s="155"/>
      <c r="D255" s="156"/>
      <c r="E255" s="157"/>
      <c r="F255" s="158"/>
    </row>
    <row r="256" spans="1:6" ht="16.8" thickTop="1" thickBot="1" x14ac:dyDescent="0.35">
      <c r="A256" s="159"/>
      <c r="B256" s="160" t="s">
        <v>465</v>
      </c>
      <c r="C256" s="161"/>
      <c r="D256" s="162"/>
      <c r="E256" s="161"/>
      <c r="F256" s="163" t="e">
        <f>SUM(F250:F255)</f>
        <v>#REF!</v>
      </c>
    </row>
    <row r="257" spans="1:6" ht="13.8" thickTop="1" x14ac:dyDescent="0.25"/>
    <row r="258" spans="1:6" ht="15.6" x14ac:dyDescent="0.25">
      <c r="A258" s="134">
        <v>15</v>
      </c>
      <c r="B258" s="135" t="s">
        <v>496</v>
      </c>
      <c r="C258" s="136"/>
      <c r="D258" s="137"/>
      <c r="E258" s="136"/>
      <c r="F258" s="138"/>
    </row>
    <row r="259" spans="1:6" ht="15.6" x14ac:dyDescent="0.3">
      <c r="A259" s="170" t="s">
        <v>29</v>
      </c>
      <c r="B259" s="171" t="s">
        <v>30</v>
      </c>
      <c r="C259" s="172" t="s">
        <v>2</v>
      </c>
      <c r="D259" s="173" t="s">
        <v>1</v>
      </c>
      <c r="E259" s="174" t="s">
        <v>3</v>
      </c>
      <c r="F259" s="175" t="s">
        <v>31</v>
      </c>
    </row>
    <row r="260" spans="1:6" ht="15" x14ac:dyDescent="0.25">
      <c r="A260" s="150" t="s">
        <v>32</v>
      </c>
      <c r="B260" s="218" t="s">
        <v>103</v>
      </c>
      <c r="C260" s="147">
        <v>1</v>
      </c>
      <c r="D260" s="148" t="s">
        <v>27</v>
      </c>
      <c r="E260" s="147">
        <v>12</v>
      </c>
      <c r="F260" s="149">
        <f>ROUND(E260*C260,2)</f>
        <v>12</v>
      </c>
    </row>
    <row r="261" spans="1:6" ht="15" x14ac:dyDescent="0.25">
      <c r="A261" s="150" t="s">
        <v>35</v>
      </c>
      <c r="B261" s="220" t="s">
        <v>102</v>
      </c>
      <c r="C261" s="147">
        <v>0.08</v>
      </c>
      <c r="D261" s="148" t="s">
        <v>26</v>
      </c>
      <c r="E261" s="147">
        <f>E209</f>
        <v>4520.28</v>
      </c>
      <c r="F261" s="149">
        <f>ROUND(E261*C261,2)</f>
        <v>361.62</v>
      </c>
    </row>
    <row r="262" spans="1:6" ht="15" x14ac:dyDescent="0.25">
      <c r="A262" s="150" t="s">
        <v>38</v>
      </c>
      <c r="B262" s="151" t="s">
        <v>84</v>
      </c>
      <c r="C262" s="147">
        <v>0.02</v>
      </c>
      <c r="D262" s="148" t="s">
        <v>26</v>
      </c>
      <c r="E262" s="147" t="e">
        <f>#REF!</f>
        <v>#REF!</v>
      </c>
      <c r="F262" s="149" t="e">
        <f>C262*E262</f>
        <v>#REF!</v>
      </c>
    </row>
    <row r="263" spans="1:6" ht="15" x14ac:dyDescent="0.25">
      <c r="A263" s="152" t="s">
        <v>39</v>
      </c>
      <c r="B263" s="176" t="s">
        <v>104</v>
      </c>
      <c r="C263" s="147">
        <v>0.08</v>
      </c>
      <c r="D263" s="148" t="s">
        <v>105</v>
      </c>
      <c r="E263" s="147">
        <v>70</v>
      </c>
      <c r="F263" s="149">
        <f>ROUND(E263*C263,2)</f>
        <v>5.6</v>
      </c>
    </row>
    <row r="264" spans="1:6" ht="15" x14ac:dyDescent="0.25">
      <c r="A264" s="150" t="s">
        <v>41</v>
      </c>
      <c r="B264" s="176" t="s">
        <v>106</v>
      </c>
      <c r="C264" s="147">
        <v>1</v>
      </c>
      <c r="D264" s="148" t="s">
        <v>27</v>
      </c>
      <c r="E264" s="147">
        <v>80</v>
      </c>
      <c r="F264" s="149">
        <f>ROUND(E264*C264,2)</f>
        <v>80</v>
      </c>
    </row>
    <row r="265" spans="1:6" ht="16.2" thickBot="1" x14ac:dyDescent="0.35">
      <c r="A265" s="153"/>
      <c r="B265" s="154"/>
      <c r="C265" s="155"/>
      <c r="D265" s="156"/>
      <c r="E265" s="157"/>
      <c r="F265" s="158"/>
    </row>
    <row r="266" spans="1:6" ht="16.8" thickTop="1" thickBot="1" x14ac:dyDescent="0.35">
      <c r="A266" s="159"/>
      <c r="B266" s="160" t="s">
        <v>100</v>
      </c>
      <c r="C266" s="161"/>
      <c r="D266" s="162"/>
      <c r="E266" s="161"/>
      <c r="F266" s="163" t="e">
        <f>SUM(F260:F265)</f>
        <v>#REF!</v>
      </c>
    </row>
    <row r="267" spans="1:6" ht="13.8" thickTop="1" x14ac:dyDescent="0.25"/>
    <row r="268" spans="1:6" ht="15.6" x14ac:dyDescent="0.25">
      <c r="A268" s="896" t="s">
        <v>497</v>
      </c>
      <c r="B268" s="897"/>
      <c r="C268" s="897"/>
      <c r="D268" s="897"/>
      <c r="E268" s="897"/>
      <c r="F268" s="898"/>
    </row>
    <row r="270" spans="1:6" ht="16.2" thickBot="1" x14ac:dyDescent="0.35">
      <c r="A270" s="475">
        <v>28</v>
      </c>
      <c r="B270" s="81" t="s">
        <v>630</v>
      </c>
      <c r="C270" s="476"/>
      <c r="D270" s="477"/>
      <c r="E270" s="478"/>
      <c r="F270" s="478"/>
    </row>
    <row r="271" spans="1:6" ht="16.2" thickTop="1" x14ac:dyDescent="0.3">
      <c r="A271" s="100" t="s">
        <v>29</v>
      </c>
      <c r="B271" s="101" t="s">
        <v>30</v>
      </c>
      <c r="C271" s="102" t="s">
        <v>2</v>
      </c>
      <c r="D271" s="103" t="s">
        <v>1</v>
      </c>
      <c r="E271" s="104" t="s">
        <v>3</v>
      </c>
      <c r="F271" s="105" t="s">
        <v>31</v>
      </c>
    </row>
    <row r="272" spans="1:6" ht="15" x14ac:dyDescent="0.25">
      <c r="A272" s="14" t="s">
        <v>32</v>
      </c>
      <c r="B272" s="341" t="s">
        <v>639</v>
      </c>
      <c r="C272" s="16">
        <v>1.1000000000000001</v>
      </c>
      <c r="D272" s="84" t="s">
        <v>75</v>
      </c>
      <c r="E272" s="18" t="e">
        <f>#REF!</f>
        <v>#REF!</v>
      </c>
      <c r="F272" s="19" t="e">
        <f>ROUND(E272*C272,2)</f>
        <v>#REF!</v>
      </c>
    </row>
    <row r="273" spans="1:6" ht="15" x14ac:dyDescent="0.25">
      <c r="A273" s="14" t="s">
        <v>35</v>
      </c>
      <c r="B273" s="15" t="s">
        <v>16</v>
      </c>
      <c r="C273" s="16">
        <v>4.87</v>
      </c>
      <c r="D273" s="17" t="s">
        <v>17</v>
      </c>
      <c r="E273" s="18">
        <v>2350</v>
      </c>
      <c r="F273" s="19">
        <f>ROUND(E273*C273,2)</f>
        <v>11444.5</v>
      </c>
    </row>
    <row r="274" spans="1:6" ht="15" x14ac:dyDescent="0.25">
      <c r="A274" s="14" t="s">
        <v>38</v>
      </c>
      <c r="B274" s="15" t="s">
        <v>97</v>
      </c>
      <c r="C274" s="16">
        <f>+C273*2</f>
        <v>9.74</v>
      </c>
      <c r="D274" s="17" t="s">
        <v>98</v>
      </c>
      <c r="E274" s="18">
        <v>55</v>
      </c>
      <c r="F274" s="19">
        <f>ROUND(E274*C274,2)</f>
        <v>535.70000000000005</v>
      </c>
    </row>
    <row r="275" spans="1:6" ht="30" x14ac:dyDescent="0.25">
      <c r="A275" s="85" t="s">
        <v>39</v>
      </c>
      <c r="B275" s="341" t="s">
        <v>498</v>
      </c>
      <c r="C275" s="16">
        <v>33.33</v>
      </c>
      <c r="D275" s="84" t="s">
        <v>18</v>
      </c>
      <c r="E275" s="18">
        <v>75</v>
      </c>
      <c r="F275" s="19">
        <f>ROUND(E275*C275,2)</f>
        <v>2499.75</v>
      </c>
    </row>
    <row r="276" spans="1:6" ht="15" x14ac:dyDescent="0.25">
      <c r="A276" s="85" t="s">
        <v>41</v>
      </c>
      <c r="B276" s="341" t="s">
        <v>499</v>
      </c>
      <c r="C276" s="16">
        <f>C273</f>
        <v>4.87</v>
      </c>
      <c r="D276" s="17" t="s">
        <v>17</v>
      </c>
      <c r="E276" s="18">
        <v>200</v>
      </c>
      <c r="F276" s="19">
        <f>ROUND(E276*C276,2)</f>
        <v>974</v>
      </c>
    </row>
    <row r="277" spans="1:6" ht="16.2" thickBot="1" x14ac:dyDescent="0.35">
      <c r="A277" s="479"/>
      <c r="B277" s="480"/>
      <c r="C277" s="481"/>
      <c r="D277" s="167"/>
      <c r="E277" s="482"/>
      <c r="F277" s="169"/>
    </row>
    <row r="278" spans="1:6" ht="16.8" thickTop="1" thickBot="1" x14ac:dyDescent="0.35">
      <c r="A278" s="32"/>
      <c r="B278" s="33" t="s">
        <v>69</v>
      </c>
      <c r="C278" s="34"/>
      <c r="D278" s="35"/>
      <c r="E278" s="36"/>
      <c r="F278" s="37" t="e">
        <f>SUM(F272:F277)</f>
        <v>#REF!</v>
      </c>
    </row>
    <row r="279" spans="1:6" ht="13.8" thickTop="1" x14ac:dyDescent="0.25"/>
    <row r="280" spans="1:6" ht="16.2" thickBot="1" x14ac:dyDescent="0.35">
      <c r="A280" s="463">
        <v>25</v>
      </c>
      <c r="B280" s="219" t="s">
        <v>500</v>
      </c>
      <c r="C280" s="464"/>
      <c r="D280" s="465"/>
      <c r="E280" s="466"/>
      <c r="F280" s="467"/>
    </row>
    <row r="281" spans="1:6" ht="16.2" thickTop="1" x14ac:dyDescent="0.3">
      <c r="A281" s="207" t="s">
        <v>29</v>
      </c>
      <c r="B281" s="208" t="s">
        <v>30</v>
      </c>
      <c r="C281" s="209" t="s">
        <v>2</v>
      </c>
      <c r="D281" s="210" t="s">
        <v>1</v>
      </c>
      <c r="E281" s="211" t="s">
        <v>3</v>
      </c>
      <c r="F281" s="212" t="s">
        <v>31</v>
      </c>
    </row>
    <row r="282" spans="1:6" ht="15" x14ac:dyDescent="0.25">
      <c r="A282" s="428" t="s">
        <v>32</v>
      </c>
      <c r="B282" s="468" t="s">
        <v>91</v>
      </c>
      <c r="C282" s="426">
        <v>1.1000000000000001</v>
      </c>
      <c r="D282" s="427" t="s">
        <v>75</v>
      </c>
      <c r="E282" s="426" t="e">
        <f>E272</f>
        <v>#REF!</v>
      </c>
      <c r="F282" s="193" t="e">
        <f>ROUND(E282*C282,2)</f>
        <v>#REF!</v>
      </c>
    </row>
    <row r="283" spans="1:6" ht="15" x14ac:dyDescent="0.25">
      <c r="A283" s="428" t="s">
        <v>35</v>
      </c>
      <c r="B283" s="429" t="s">
        <v>16</v>
      </c>
      <c r="C283" s="426">
        <v>0.65</v>
      </c>
      <c r="D283" s="430" t="s">
        <v>17</v>
      </c>
      <c r="E283" s="426">
        <v>2350</v>
      </c>
      <c r="F283" s="193">
        <f>ROUND(E283*C283,2)</f>
        <v>1527.5</v>
      </c>
    </row>
    <row r="284" spans="1:6" ht="15" x14ac:dyDescent="0.25">
      <c r="A284" s="428" t="s">
        <v>38</v>
      </c>
      <c r="B284" s="429" t="s">
        <v>97</v>
      </c>
      <c r="C284" s="426">
        <f>C283*2</f>
        <v>1.3</v>
      </c>
      <c r="D284" s="430" t="s">
        <v>98</v>
      </c>
      <c r="E284" s="426">
        <v>55</v>
      </c>
      <c r="F284" s="193">
        <f>ROUND(E284*C284,2)</f>
        <v>71.5</v>
      </c>
    </row>
    <row r="285" spans="1:6" ht="15" x14ac:dyDescent="0.25">
      <c r="A285" s="424" t="s">
        <v>39</v>
      </c>
      <c r="B285" s="425" t="s">
        <v>450</v>
      </c>
      <c r="C285" s="426">
        <v>10</v>
      </c>
      <c r="D285" s="430" t="s">
        <v>5</v>
      </c>
      <c r="E285" s="426">
        <v>275</v>
      </c>
      <c r="F285" s="193">
        <f>ROUND(E285*C285,2)</f>
        <v>2750</v>
      </c>
    </row>
    <row r="286" spans="1:6" ht="15" x14ac:dyDescent="0.25">
      <c r="A286" s="424" t="s">
        <v>41</v>
      </c>
      <c r="B286" s="425" t="s">
        <v>461</v>
      </c>
      <c r="C286" s="426">
        <f>C283</f>
        <v>0.65</v>
      </c>
      <c r="D286" s="430" t="s">
        <v>17</v>
      </c>
      <c r="E286" s="426">
        <v>250</v>
      </c>
      <c r="F286" s="193">
        <f>ROUND(E286*C286,2)</f>
        <v>162.5</v>
      </c>
    </row>
    <row r="287" spans="1:6" ht="15.6" thickBot="1" x14ac:dyDescent="0.3">
      <c r="A287" s="469"/>
      <c r="B287" s="433"/>
      <c r="C287" s="433"/>
      <c r="D287" s="434"/>
      <c r="E287" s="470"/>
      <c r="F287" s="471"/>
    </row>
    <row r="288" spans="1:6" ht="16.8" thickTop="1" thickBot="1" x14ac:dyDescent="0.35">
      <c r="A288" s="472"/>
      <c r="B288" s="214" t="s">
        <v>69</v>
      </c>
      <c r="C288" s="473"/>
      <c r="D288" s="474"/>
      <c r="E288" s="473"/>
      <c r="F288" s="217" t="e">
        <f>SUM(F282:F287)</f>
        <v>#REF!</v>
      </c>
    </row>
    <row r="289" spans="1:6" ht="13.8" thickTop="1" x14ac:dyDescent="0.25"/>
    <row r="290" spans="1:6" ht="15.6" x14ac:dyDescent="0.25">
      <c r="A290" s="127">
        <v>19</v>
      </c>
      <c r="B290" s="128" t="s">
        <v>501</v>
      </c>
      <c r="C290" s="129"/>
      <c r="D290" s="130"/>
      <c r="E290" s="131"/>
      <c r="F290" s="132"/>
    </row>
    <row r="291" spans="1:6" ht="15.6" x14ac:dyDescent="0.3">
      <c r="A291" s="483" t="s">
        <v>29</v>
      </c>
      <c r="B291" s="484" t="s">
        <v>30</v>
      </c>
      <c r="C291" s="485" t="s">
        <v>2</v>
      </c>
      <c r="D291" s="486" t="s">
        <v>1</v>
      </c>
      <c r="E291" s="487" t="s">
        <v>3</v>
      </c>
      <c r="F291" s="488" t="s">
        <v>31</v>
      </c>
    </row>
    <row r="292" spans="1:6" ht="15.6" x14ac:dyDescent="0.25">
      <c r="A292" s="489">
        <v>1</v>
      </c>
      <c r="B292" s="490" t="s">
        <v>502</v>
      </c>
      <c r="C292" s="491">
        <v>13</v>
      </c>
      <c r="D292" s="492" t="s">
        <v>126</v>
      </c>
      <c r="E292" s="491">
        <v>45</v>
      </c>
      <c r="F292" s="493">
        <f>ROUND(C292*E292,2)</f>
        <v>585</v>
      </c>
    </row>
    <row r="293" spans="1:6" ht="15" x14ac:dyDescent="0.25">
      <c r="A293" s="494">
        <v>2</v>
      </c>
      <c r="B293" s="495" t="s">
        <v>503</v>
      </c>
      <c r="C293" s="496">
        <v>0.03</v>
      </c>
      <c r="D293" s="497" t="s">
        <v>26</v>
      </c>
      <c r="E293" s="498" t="e">
        <f>#REF!</f>
        <v>#REF!</v>
      </c>
      <c r="F293" s="493" t="e">
        <f>ROUND(C293*E293,2)</f>
        <v>#REF!</v>
      </c>
    </row>
    <row r="294" spans="1:6" ht="15.6" thickBot="1" x14ac:dyDescent="0.3">
      <c r="A294" s="494">
        <v>3</v>
      </c>
      <c r="B294" s="495" t="s">
        <v>504</v>
      </c>
      <c r="C294" s="496">
        <v>13</v>
      </c>
      <c r="D294" s="497" t="s">
        <v>126</v>
      </c>
      <c r="E294" s="498">
        <v>20</v>
      </c>
      <c r="F294" s="493">
        <f>ROUND(C294*E294,2)</f>
        <v>260</v>
      </c>
    </row>
    <row r="295" spans="1:6" ht="16.8" thickTop="1" thickBot="1" x14ac:dyDescent="0.35">
      <c r="A295" s="499"/>
      <c r="B295" s="500" t="s">
        <v>100</v>
      </c>
      <c r="C295" s="501"/>
      <c r="D295" s="502"/>
      <c r="E295" s="501"/>
      <c r="F295" s="503" t="e">
        <f>SUM(F292:F294)</f>
        <v>#REF!</v>
      </c>
    </row>
    <row r="296" spans="1:6" ht="13.8" thickTop="1" x14ac:dyDescent="0.25"/>
    <row r="297" spans="1:6" ht="16.2" thickBot="1" x14ac:dyDescent="0.35">
      <c r="A297" s="367">
        <v>30</v>
      </c>
      <c r="B297" s="368" t="s">
        <v>468</v>
      </c>
      <c r="C297" s="369"/>
      <c r="D297" s="370"/>
      <c r="E297" s="371"/>
      <c r="F297" s="371"/>
    </row>
    <row r="298" spans="1:6" ht="16.2" thickTop="1" x14ac:dyDescent="0.3">
      <c r="A298" s="372" t="s">
        <v>29</v>
      </c>
      <c r="B298" s="9" t="s">
        <v>30</v>
      </c>
      <c r="C298" s="10" t="s">
        <v>2</v>
      </c>
      <c r="D298" s="11" t="s">
        <v>1</v>
      </c>
      <c r="E298" s="12" t="s">
        <v>3</v>
      </c>
      <c r="F298" s="13" t="s">
        <v>31</v>
      </c>
    </row>
    <row r="299" spans="1:6" ht="15" x14ac:dyDescent="0.25">
      <c r="A299" s="373" t="s">
        <v>32</v>
      </c>
      <c r="B299" s="374" t="s">
        <v>469</v>
      </c>
      <c r="C299" s="375">
        <v>13</v>
      </c>
      <c r="D299" s="376" t="s">
        <v>52</v>
      </c>
      <c r="E299" s="377">
        <v>24</v>
      </c>
      <c r="F299" s="378">
        <f t="shared" ref="F299:F305" si="2">ROUND(C299*E299,2)</f>
        <v>312</v>
      </c>
    </row>
    <row r="300" spans="1:6" ht="15" x14ac:dyDescent="0.25">
      <c r="A300" s="373" t="s">
        <v>35</v>
      </c>
      <c r="B300" s="374" t="s">
        <v>84</v>
      </c>
      <c r="C300" s="379">
        <v>0.03</v>
      </c>
      <c r="D300" s="376" t="s">
        <v>173</v>
      </c>
      <c r="E300" s="377" t="e">
        <f>E293</f>
        <v>#REF!</v>
      </c>
      <c r="F300" s="378" t="e">
        <f t="shared" si="2"/>
        <v>#REF!</v>
      </c>
    </row>
    <row r="301" spans="1:6" ht="15" x14ac:dyDescent="0.25">
      <c r="A301" s="373" t="s">
        <v>38</v>
      </c>
      <c r="B301" s="380" t="s">
        <v>470</v>
      </c>
      <c r="C301" s="379">
        <v>0.02</v>
      </c>
      <c r="D301" s="376" t="s">
        <v>173</v>
      </c>
      <c r="E301" s="377">
        <f>E261</f>
        <v>4520.28</v>
      </c>
      <c r="F301" s="378">
        <f t="shared" si="2"/>
        <v>90.41</v>
      </c>
    </row>
    <row r="302" spans="1:6" ht="15" x14ac:dyDescent="0.25">
      <c r="A302" s="373" t="s">
        <v>39</v>
      </c>
      <c r="B302" s="374" t="s">
        <v>471</v>
      </c>
      <c r="C302" s="379">
        <v>0.03</v>
      </c>
      <c r="D302" s="376" t="s">
        <v>17</v>
      </c>
      <c r="E302" s="377">
        <v>2350</v>
      </c>
      <c r="F302" s="378">
        <f t="shared" si="2"/>
        <v>70.5</v>
      </c>
    </row>
    <row r="303" spans="1:6" ht="15" x14ac:dyDescent="0.25">
      <c r="A303" s="373" t="s">
        <v>41</v>
      </c>
      <c r="B303" s="374" t="s">
        <v>472</v>
      </c>
      <c r="C303" s="375">
        <v>13</v>
      </c>
      <c r="D303" s="376" t="s">
        <v>52</v>
      </c>
      <c r="E303" s="377">
        <v>2.2000000000000002</v>
      </c>
      <c r="F303" s="378">
        <f t="shared" si="2"/>
        <v>28.6</v>
      </c>
    </row>
    <row r="304" spans="1:6" ht="15" x14ac:dyDescent="0.25">
      <c r="A304" s="373" t="s">
        <v>43</v>
      </c>
      <c r="B304" s="374" t="s">
        <v>473</v>
      </c>
      <c r="C304" s="375">
        <f>C303</f>
        <v>13</v>
      </c>
      <c r="D304" s="376" t="s">
        <v>52</v>
      </c>
      <c r="E304" s="377">
        <v>3</v>
      </c>
      <c r="F304" s="378">
        <f t="shared" si="2"/>
        <v>39</v>
      </c>
    </row>
    <row r="305" spans="1:6" ht="15" x14ac:dyDescent="0.25">
      <c r="A305" s="373" t="s">
        <v>45</v>
      </c>
      <c r="B305" s="374" t="s">
        <v>474</v>
      </c>
      <c r="C305" s="375">
        <f>C303</f>
        <v>13</v>
      </c>
      <c r="D305" s="376" t="s">
        <v>52</v>
      </c>
      <c r="E305" s="377">
        <v>15</v>
      </c>
      <c r="F305" s="378">
        <f t="shared" si="2"/>
        <v>195</v>
      </c>
    </row>
    <row r="306" spans="1:6" ht="15.6" thickBot="1" x14ac:dyDescent="0.3">
      <c r="A306" s="381"/>
      <c r="B306" s="382"/>
      <c r="C306" s="383"/>
      <c r="D306" s="384"/>
      <c r="E306" s="385"/>
      <c r="F306" s="386"/>
    </row>
    <row r="307" spans="1:6" ht="16.8" thickTop="1" thickBot="1" x14ac:dyDescent="0.35">
      <c r="A307" s="387"/>
      <c r="B307" s="33" t="s">
        <v>100</v>
      </c>
      <c r="C307" s="34"/>
      <c r="D307" s="35"/>
      <c r="E307" s="36"/>
      <c r="F307" s="37" t="e">
        <f>SUM(F299:F306)</f>
        <v>#REF!</v>
      </c>
    </row>
    <row r="308" spans="1:6" ht="13.8" thickTop="1" x14ac:dyDescent="0.25"/>
    <row r="309" spans="1:6" ht="15.6" x14ac:dyDescent="0.25">
      <c r="A309" s="127">
        <v>19</v>
      </c>
      <c r="B309" s="128" t="s">
        <v>505</v>
      </c>
      <c r="C309" s="129"/>
      <c r="D309" s="130"/>
      <c r="E309" s="131"/>
      <c r="F309" s="132"/>
    </row>
    <row r="310" spans="1:6" ht="15.6" x14ac:dyDescent="0.3">
      <c r="A310" s="504" t="s">
        <v>29</v>
      </c>
      <c r="B310" s="505" t="s">
        <v>30</v>
      </c>
      <c r="C310" s="506" t="s">
        <v>2</v>
      </c>
      <c r="D310" s="507" t="s">
        <v>1</v>
      </c>
      <c r="E310" s="508" t="s">
        <v>3</v>
      </c>
      <c r="F310" s="509" t="s">
        <v>31</v>
      </c>
    </row>
    <row r="311" spans="1:6" ht="15.6" x14ac:dyDescent="0.25">
      <c r="A311" s="510"/>
      <c r="B311" s="511"/>
      <c r="C311" s="350"/>
      <c r="D311" s="354"/>
      <c r="E311" s="350"/>
      <c r="F311" s="512"/>
    </row>
    <row r="312" spans="1:6" ht="15" x14ac:dyDescent="0.25">
      <c r="A312" s="513" t="s">
        <v>32</v>
      </c>
      <c r="B312" s="514" t="s">
        <v>488</v>
      </c>
      <c r="C312" s="350">
        <v>0.105</v>
      </c>
      <c r="D312" s="354" t="s">
        <v>26</v>
      </c>
      <c r="E312" s="350">
        <f>E301</f>
        <v>4520.28</v>
      </c>
      <c r="F312" s="512">
        <f>ROUND(E312*C312,2)</f>
        <v>474.63</v>
      </c>
    </row>
    <row r="313" spans="1:6" ht="15" x14ac:dyDescent="0.25">
      <c r="A313" s="513" t="s">
        <v>35</v>
      </c>
      <c r="B313" s="515" t="s">
        <v>84</v>
      </c>
      <c r="C313" s="350">
        <v>2.1999999999999999E-2</v>
      </c>
      <c r="D313" s="354" t="s">
        <v>26</v>
      </c>
      <c r="E313" s="350" t="e">
        <f>E300</f>
        <v>#REF!</v>
      </c>
      <c r="F313" s="512" t="e">
        <f>ROUND(E313*C313,2)</f>
        <v>#REF!</v>
      </c>
    </row>
    <row r="314" spans="1:6" ht="15" x14ac:dyDescent="0.25">
      <c r="A314" s="513" t="s">
        <v>38</v>
      </c>
      <c r="B314" s="516" t="s">
        <v>106</v>
      </c>
      <c r="C314" s="350">
        <v>1</v>
      </c>
      <c r="D314" s="354" t="s">
        <v>27</v>
      </c>
      <c r="E314" s="350">
        <v>80</v>
      </c>
      <c r="F314" s="512">
        <f>ROUND(E314*C314,2)</f>
        <v>80</v>
      </c>
    </row>
    <row r="315" spans="1:6" ht="15" x14ac:dyDescent="0.25">
      <c r="A315" s="513"/>
      <c r="B315" s="516" t="s">
        <v>506</v>
      </c>
      <c r="C315" s="350">
        <v>0.45</v>
      </c>
      <c r="D315" s="354" t="s">
        <v>507</v>
      </c>
      <c r="E315" s="350">
        <v>80</v>
      </c>
      <c r="F315" s="512">
        <f>ROUND(E315*C315,2)</f>
        <v>36</v>
      </c>
    </row>
    <row r="316" spans="1:6" ht="15" x14ac:dyDescent="0.25">
      <c r="A316" s="517" t="s">
        <v>35</v>
      </c>
      <c r="B316" s="15" t="s">
        <v>86</v>
      </c>
      <c r="C316" s="16">
        <v>0.05</v>
      </c>
      <c r="D316" s="17" t="s">
        <v>508</v>
      </c>
      <c r="E316" s="18">
        <v>320</v>
      </c>
      <c r="F316" s="19">
        <f>ROUND(E316*C316,2)</f>
        <v>16</v>
      </c>
    </row>
    <row r="317" spans="1:6" ht="15.6" thickBot="1" x14ac:dyDescent="0.3">
      <c r="A317" s="518"/>
      <c r="B317" s="519"/>
      <c r="C317" s="520"/>
      <c r="D317" s="521"/>
      <c r="E317" s="522"/>
      <c r="F317" s="523"/>
    </row>
    <row r="318" spans="1:6" ht="16.8" thickTop="1" thickBot="1" x14ac:dyDescent="0.35">
      <c r="A318" s="524"/>
      <c r="B318" s="525" t="s">
        <v>69</v>
      </c>
      <c r="C318" s="363"/>
      <c r="D318" s="364"/>
      <c r="E318" s="363"/>
      <c r="F318" s="365" t="e">
        <f>SUM(F312:F317)</f>
        <v>#REF!</v>
      </c>
    </row>
    <row r="319" spans="1:6" ht="13.8" thickTop="1" x14ac:dyDescent="0.25"/>
    <row r="320" spans="1:6" ht="15.6" x14ac:dyDescent="0.25">
      <c r="A320" s="526">
        <v>16</v>
      </c>
      <c r="B320" s="527" t="s">
        <v>509</v>
      </c>
      <c r="C320" s="528"/>
      <c r="D320" s="529"/>
      <c r="E320" s="528"/>
      <c r="F320" s="530"/>
    </row>
    <row r="321" spans="1:6" ht="15.6" x14ac:dyDescent="0.3">
      <c r="A321" s="170" t="s">
        <v>29</v>
      </c>
      <c r="B321" s="171" t="s">
        <v>30</v>
      </c>
      <c r="C321" s="172" t="s">
        <v>2</v>
      </c>
      <c r="D321" s="173" t="s">
        <v>1</v>
      </c>
      <c r="E321" s="174" t="s">
        <v>3</v>
      </c>
      <c r="F321" s="175" t="s">
        <v>31</v>
      </c>
    </row>
    <row r="322" spans="1:6" ht="15" x14ac:dyDescent="0.25">
      <c r="A322" s="394" t="s">
        <v>32</v>
      </c>
      <c r="B322" s="531" t="s">
        <v>510</v>
      </c>
      <c r="C322" s="396">
        <v>1</v>
      </c>
      <c r="D322" s="397" t="s">
        <v>107</v>
      </c>
      <c r="E322" s="396">
        <v>50</v>
      </c>
      <c r="F322" s="398">
        <f>ROUND(E322*C322,2)</f>
        <v>50</v>
      </c>
    </row>
    <row r="323" spans="1:6" ht="15" x14ac:dyDescent="0.25">
      <c r="A323" s="394" t="s">
        <v>35</v>
      </c>
      <c r="B323" s="395" t="s">
        <v>102</v>
      </c>
      <c r="C323" s="396">
        <v>0.05</v>
      </c>
      <c r="D323" s="397" t="s">
        <v>26</v>
      </c>
      <c r="E323" s="396">
        <f>E312</f>
        <v>4520.28</v>
      </c>
      <c r="F323" s="398">
        <f>ROUND(E323*C323,2)</f>
        <v>226.01</v>
      </c>
    </row>
    <row r="324" spans="1:6" ht="15" x14ac:dyDescent="0.25">
      <c r="A324" s="394" t="s">
        <v>38</v>
      </c>
      <c r="B324" s="395" t="s">
        <v>511</v>
      </c>
      <c r="C324" s="396">
        <v>1</v>
      </c>
      <c r="D324" s="397" t="s">
        <v>130</v>
      </c>
      <c r="E324" s="396">
        <v>60</v>
      </c>
      <c r="F324" s="398">
        <f>C324*E324</f>
        <v>60</v>
      </c>
    </row>
    <row r="325" spans="1:6" ht="15" x14ac:dyDescent="0.25">
      <c r="A325" s="532" t="s">
        <v>39</v>
      </c>
      <c r="B325" s="399" t="s">
        <v>512</v>
      </c>
      <c r="C325" s="396">
        <v>1</v>
      </c>
      <c r="D325" s="397" t="s">
        <v>107</v>
      </c>
      <c r="E325" s="396">
        <v>40</v>
      </c>
      <c r="F325" s="398">
        <f>ROUND(E325*C325,2)</f>
        <v>40</v>
      </c>
    </row>
    <row r="326" spans="1:6" ht="15" x14ac:dyDescent="0.25">
      <c r="A326" s="394" t="s">
        <v>41</v>
      </c>
      <c r="B326" s="399" t="s">
        <v>513</v>
      </c>
      <c r="C326" s="396">
        <v>0.6</v>
      </c>
      <c r="D326" s="397" t="s">
        <v>27</v>
      </c>
      <c r="E326" s="396">
        <f>'[27]Colc. Tuberia'!F172</f>
        <v>151.608</v>
      </c>
      <c r="F326" s="398">
        <f>ROUND(E326*C326,2)</f>
        <v>90.96</v>
      </c>
    </row>
    <row r="327" spans="1:6" ht="15" x14ac:dyDescent="0.25">
      <c r="A327" s="394"/>
      <c r="B327" s="399" t="s">
        <v>485</v>
      </c>
      <c r="C327" s="396">
        <v>1</v>
      </c>
      <c r="D327" s="397" t="s">
        <v>130</v>
      </c>
      <c r="E327" s="396">
        <v>120</v>
      </c>
      <c r="F327" s="398">
        <f>ROUND(E327*C327,2)</f>
        <v>120</v>
      </c>
    </row>
    <row r="328" spans="1:6" ht="16.2" thickBot="1" x14ac:dyDescent="0.35">
      <c r="A328" s="400"/>
      <c r="B328" s="401"/>
      <c r="C328" s="402"/>
      <c r="D328" s="403"/>
      <c r="E328" s="404"/>
      <c r="F328" s="405"/>
    </row>
    <row r="329" spans="1:6" ht="16.8" thickTop="1" thickBot="1" x14ac:dyDescent="0.35">
      <c r="A329" s="406"/>
      <c r="B329" s="407" t="s">
        <v>101</v>
      </c>
      <c r="C329" s="408"/>
      <c r="D329" s="409"/>
      <c r="E329" s="408"/>
      <c r="F329" s="410">
        <f>SUM(F322:F328)</f>
        <v>586.97</v>
      </c>
    </row>
    <row r="330" spans="1:6" ht="13.8" thickTop="1" x14ac:dyDescent="0.25"/>
  </sheetData>
  <mergeCells count="7">
    <mergeCell ref="A268:F268"/>
    <mergeCell ref="A2:F2"/>
    <mergeCell ref="A66:F66"/>
    <mergeCell ref="A110:F110"/>
    <mergeCell ref="A144:F144"/>
    <mergeCell ref="A178:F178"/>
    <mergeCell ref="A198:F19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3"/>
  <sheetViews>
    <sheetView view="pageBreakPreview" zoomScale="115" zoomScaleNormal="85" zoomScaleSheetLayoutView="115" workbookViewId="0">
      <selection activeCell="E30" sqref="E30"/>
    </sheetView>
  </sheetViews>
  <sheetFormatPr baseColWidth="10" defaultRowHeight="13.2" x14ac:dyDescent="0.25"/>
  <cols>
    <col min="1" max="1" width="4.88671875" style="221" bestFit="1" customWidth="1"/>
    <col min="2" max="2" width="54.6640625" style="221" bestFit="1" customWidth="1"/>
    <col min="3" max="3" width="13.33203125" style="221" bestFit="1" customWidth="1"/>
    <col min="4" max="4" width="11.44140625" style="221"/>
    <col min="5" max="5" width="11.5546875" style="221" bestFit="1" customWidth="1"/>
    <col min="6" max="6" width="12.33203125" style="221" bestFit="1" customWidth="1"/>
    <col min="7" max="256" width="11.44140625" style="221"/>
    <col min="257" max="257" width="4.88671875" style="221" bestFit="1" customWidth="1"/>
    <col min="258" max="258" width="46.6640625" style="221" bestFit="1" customWidth="1"/>
    <col min="259" max="259" width="11.5546875" style="221" bestFit="1" customWidth="1"/>
    <col min="260" max="260" width="11.44140625" style="221"/>
    <col min="261" max="261" width="11.5546875" style="221" bestFit="1" customWidth="1"/>
    <col min="262" max="262" width="12.33203125" style="221" bestFit="1" customWidth="1"/>
    <col min="263" max="512" width="11.44140625" style="221"/>
    <col min="513" max="513" width="4.88671875" style="221" bestFit="1" customWidth="1"/>
    <col min="514" max="514" width="46.6640625" style="221" bestFit="1" customWidth="1"/>
    <col min="515" max="515" width="11.5546875" style="221" bestFit="1" customWidth="1"/>
    <col min="516" max="516" width="11.44140625" style="221"/>
    <col min="517" max="517" width="11.5546875" style="221" bestFit="1" customWidth="1"/>
    <col min="518" max="518" width="12.33203125" style="221" bestFit="1" customWidth="1"/>
    <col min="519" max="768" width="11.44140625" style="221"/>
    <col min="769" max="769" width="4.88671875" style="221" bestFit="1" customWidth="1"/>
    <col min="770" max="770" width="46.6640625" style="221" bestFit="1" customWidth="1"/>
    <col min="771" max="771" width="11.5546875" style="221" bestFit="1" customWidth="1"/>
    <col min="772" max="772" width="11.44140625" style="221"/>
    <col min="773" max="773" width="11.5546875" style="221" bestFit="1" customWidth="1"/>
    <col min="774" max="774" width="12.33203125" style="221" bestFit="1" customWidth="1"/>
    <col min="775" max="1024" width="11.44140625" style="221"/>
    <col min="1025" max="1025" width="4.88671875" style="221" bestFit="1" customWidth="1"/>
    <col min="1026" max="1026" width="46.6640625" style="221" bestFit="1" customWidth="1"/>
    <col min="1027" max="1027" width="11.5546875" style="221" bestFit="1" customWidth="1"/>
    <col min="1028" max="1028" width="11.44140625" style="221"/>
    <col min="1029" max="1029" width="11.5546875" style="221" bestFit="1" customWidth="1"/>
    <col min="1030" max="1030" width="12.33203125" style="221" bestFit="1" customWidth="1"/>
    <col min="1031" max="1280" width="11.44140625" style="221"/>
    <col min="1281" max="1281" width="4.88671875" style="221" bestFit="1" customWidth="1"/>
    <col min="1282" max="1282" width="46.6640625" style="221" bestFit="1" customWidth="1"/>
    <col min="1283" max="1283" width="11.5546875" style="221" bestFit="1" customWidth="1"/>
    <col min="1284" max="1284" width="11.44140625" style="221"/>
    <col min="1285" max="1285" width="11.5546875" style="221" bestFit="1" customWidth="1"/>
    <col min="1286" max="1286" width="12.33203125" style="221" bestFit="1" customWidth="1"/>
    <col min="1287" max="1536" width="11.44140625" style="221"/>
    <col min="1537" max="1537" width="4.88671875" style="221" bestFit="1" customWidth="1"/>
    <col min="1538" max="1538" width="46.6640625" style="221" bestFit="1" customWidth="1"/>
    <col min="1539" max="1539" width="11.5546875" style="221" bestFit="1" customWidth="1"/>
    <col min="1540" max="1540" width="11.44140625" style="221"/>
    <col min="1541" max="1541" width="11.5546875" style="221" bestFit="1" customWidth="1"/>
    <col min="1542" max="1542" width="12.33203125" style="221" bestFit="1" customWidth="1"/>
    <col min="1543" max="1792" width="11.44140625" style="221"/>
    <col min="1793" max="1793" width="4.88671875" style="221" bestFit="1" customWidth="1"/>
    <col min="1794" max="1794" width="46.6640625" style="221" bestFit="1" customWidth="1"/>
    <col min="1795" max="1795" width="11.5546875" style="221" bestFit="1" customWidth="1"/>
    <col min="1796" max="1796" width="11.44140625" style="221"/>
    <col min="1797" max="1797" width="11.5546875" style="221" bestFit="1" customWidth="1"/>
    <col min="1798" max="1798" width="12.33203125" style="221" bestFit="1" customWidth="1"/>
    <col min="1799" max="2048" width="11.44140625" style="221"/>
    <col min="2049" max="2049" width="4.88671875" style="221" bestFit="1" customWidth="1"/>
    <col min="2050" max="2050" width="46.6640625" style="221" bestFit="1" customWidth="1"/>
    <col min="2051" max="2051" width="11.5546875" style="221" bestFit="1" customWidth="1"/>
    <col min="2052" max="2052" width="11.44140625" style="221"/>
    <col min="2053" max="2053" width="11.5546875" style="221" bestFit="1" customWidth="1"/>
    <col min="2054" max="2054" width="12.33203125" style="221" bestFit="1" customWidth="1"/>
    <col min="2055" max="2304" width="11.44140625" style="221"/>
    <col min="2305" max="2305" width="4.88671875" style="221" bestFit="1" customWidth="1"/>
    <col min="2306" max="2306" width="46.6640625" style="221" bestFit="1" customWidth="1"/>
    <col min="2307" max="2307" width="11.5546875" style="221" bestFit="1" customWidth="1"/>
    <col min="2308" max="2308" width="11.44140625" style="221"/>
    <col min="2309" max="2309" width="11.5546875" style="221" bestFit="1" customWidth="1"/>
    <col min="2310" max="2310" width="12.33203125" style="221" bestFit="1" customWidth="1"/>
    <col min="2311" max="2560" width="11.44140625" style="221"/>
    <col min="2561" max="2561" width="4.88671875" style="221" bestFit="1" customWidth="1"/>
    <col min="2562" max="2562" width="46.6640625" style="221" bestFit="1" customWidth="1"/>
    <col min="2563" max="2563" width="11.5546875" style="221" bestFit="1" customWidth="1"/>
    <col min="2564" max="2564" width="11.44140625" style="221"/>
    <col min="2565" max="2565" width="11.5546875" style="221" bestFit="1" customWidth="1"/>
    <col min="2566" max="2566" width="12.33203125" style="221" bestFit="1" customWidth="1"/>
    <col min="2567" max="2816" width="11.44140625" style="221"/>
    <col min="2817" max="2817" width="4.88671875" style="221" bestFit="1" customWidth="1"/>
    <col min="2818" max="2818" width="46.6640625" style="221" bestFit="1" customWidth="1"/>
    <col min="2819" max="2819" width="11.5546875" style="221" bestFit="1" customWidth="1"/>
    <col min="2820" max="2820" width="11.44140625" style="221"/>
    <col min="2821" max="2821" width="11.5546875" style="221" bestFit="1" customWidth="1"/>
    <col min="2822" max="2822" width="12.33203125" style="221" bestFit="1" customWidth="1"/>
    <col min="2823" max="3072" width="11.44140625" style="221"/>
    <col min="3073" max="3073" width="4.88671875" style="221" bestFit="1" customWidth="1"/>
    <col min="3074" max="3074" width="46.6640625" style="221" bestFit="1" customWidth="1"/>
    <col min="3075" max="3075" width="11.5546875" style="221" bestFit="1" customWidth="1"/>
    <col min="3076" max="3076" width="11.44140625" style="221"/>
    <col min="3077" max="3077" width="11.5546875" style="221" bestFit="1" customWidth="1"/>
    <col min="3078" max="3078" width="12.33203125" style="221" bestFit="1" customWidth="1"/>
    <col min="3079" max="3328" width="11.44140625" style="221"/>
    <col min="3329" max="3329" width="4.88671875" style="221" bestFit="1" customWidth="1"/>
    <col min="3330" max="3330" width="46.6640625" style="221" bestFit="1" customWidth="1"/>
    <col min="3331" max="3331" width="11.5546875" style="221" bestFit="1" customWidth="1"/>
    <col min="3332" max="3332" width="11.44140625" style="221"/>
    <col min="3333" max="3333" width="11.5546875" style="221" bestFit="1" customWidth="1"/>
    <col min="3334" max="3334" width="12.33203125" style="221" bestFit="1" customWidth="1"/>
    <col min="3335" max="3584" width="11.44140625" style="221"/>
    <col min="3585" max="3585" width="4.88671875" style="221" bestFit="1" customWidth="1"/>
    <col min="3586" max="3586" width="46.6640625" style="221" bestFit="1" customWidth="1"/>
    <col min="3587" max="3587" width="11.5546875" style="221" bestFit="1" customWidth="1"/>
    <col min="3588" max="3588" width="11.44140625" style="221"/>
    <col min="3589" max="3589" width="11.5546875" style="221" bestFit="1" customWidth="1"/>
    <col min="3590" max="3590" width="12.33203125" style="221" bestFit="1" customWidth="1"/>
    <col min="3591" max="3840" width="11.44140625" style="221"/>
    <col min="3841" max="3841" width="4.88671875" style="221" bestFit="1" customWidth="1"/>
    <col min="3842" max="3842" width="46.6640625" style="221" bestFit="1" customWidth="1"/>
    <col min="3843" max="3843" width="11.5546875" style="221" bestFit="1" customWidth="1"/>
    <col min="3844" max="3844" width="11.44140625" style="221"/>
    <col min="3845" max="3845" width="11.5546875" style="221" bestFit="1" customWidth="1"/>
    <col min="3846" max="3846" width="12.33203125" style="221" bestFit="1" customWidth="1"/>
    <col min="3847" max="4096" width="11.44140625" style="221"/>
    <col min="4097" max="4097" width="4.88671875" style="221" bestFit="1" customWidth="1"/>
    <col min="4098" max="4098" width="46.6640625" style="221" bestFit="1" customWidth="1"/>
    <col min="4099" max="4099" width="11.5546875" style="221" bestFit="1" customWidth="1"/>
    <col min="4100" max="4100" width="11.44140625" style="221"/>
    <col min="4101" max="4101" width="11.5546875" style="221" bestFit="1" customWidth="1"/>
    <col min="4102" max="4102" width="12.33203125" style="221" bestFit="1" customWidth="1"/>
    <col min="4103" max="4352" width="11.44140625" style="221"/>
    <col min="4353" max="4353" width="4.88671875" style="221" bestFit="1" customWidth="1"/>
    <col min="4354" max="4354" width="46.6640625" style="221" bestFit="1" customWidth="1"/>
    <col min="4355" max="4355" width="11.5546875" style="221" bestFit="1" customWidth="1"/>
    <col min="4356" max="4356" width="11.44140625" style="221"/>
    <col min="4357" max="4357" width="11.5546875" style="221" bestFit="1" customWidth="1"/>
    <col min="4358" max="4358" width="12.33203125" style="221" bestFit="1" customWidth="1"/>
    <col min="4359" max="4608" width="11.44140625" style="221"/>
    <col min="4609" max="4609" width="4.88671875" style="221" bestFit="1" customWidth="1"/>
    <col min="4610" max="4610" width="46.6640625" style="221" bestFit="1" customWidth="1"/>
    <col min="4611" max="4611" width="11.5546875" style="221" bestFit="1" customWidth="1"/>
    <col min="4612" max="4612" width="11.44140625" style="221"/>
    <col min="4613" max="4613" width="11.5546875" style="221" bestFit="1" customWidth="1"/>
    <col min="4614" max="4614" width="12.33203125" style="221" bestFit="1" customWidth="1"/>
    <col min="4615" max="4864" width="11.44140625" style="221"/>
    <col min="4865" max="4865" width="4.88671875" style="221" bestFit="1" customWidth="1"/>
    <col min="4866" max="4866" width="46.6640625" style="221" bestFit="1" customWidth="1"/>
    <col min="4867" max="4867" width="11.5546875" style="221" bestFit="1" customWidth="1"/>
    <col min="4868" max="4868" width="11.44140625" style="221"/>
    <col min="4869" max="4869" width="11.5546875" style="221" bestFit="1" customWidth="1"/>
    <col min="4870" max="4870" width="12.33203125" style="221" bestFit="1" customWidth="1"/>
    <col min="4871" max="5120" width="11.44140625" style="221"/>
    <col min="5121" max="5121" width="4.88671875" style="221" bestFit="1" customWidth="1"/>
    <col min="5122" max="5122" width="46.6640625" style="221" bestFit="1" customWidth="1"/>
    <col min="5123" max="5123" width="11.5546875" style="221" bestFit="1" customWidth="1"/>
    <col min="5124" max="5124" width="11.44140625" style="221"/>
    <col min="5125" max="5125" width="11.5546875" style="221" bestFit="1" customWidth="1"/>
    <col min="5126" max="5126" width="12.33203125" style="221" bestFit="1" customWidth="1"/>
    <col min="5127" max="5376" width="11.44140625" style="221"/>
    <col min="5377" max="5377" width="4.88671875" style="221" bestFit="1" customWidth="1"/>
    <col min="5378" max="5378" width="46.6640625" style="221" bestFit="1" customWidth="1"/>
    <col min="5379" max="5379" width="11.5546875" style="221" bestFit="1" customWidth="1"/>
    <col min="5380" max="5380" width="11.44140625" style="221"/>
    <col min="5381" max="5381" width="11.5546875" style="221" bestFit="1" customWidth="1"/>
    <col min="5382" max="5382" width="12.33203125" style="221" bestFit="1" customWidth="1"/>
    <col min="5383" max="5632" width="11.44140625" style="221"/>
    <col min="5633" max="5633" width="4.88671875" style="221" bestFit="1" customWidth="1"/>
    <col min="5634" max="5634" width="46.6640625" style="221" bestFit="1" customWidth="1"/>
    <col min="5635" max="5635" width="11.5546875" style="221" bestFit="1" customWidth="1"/>
    <col min="5636" max="5636" width="11.44140625" style="221"/>
    <col min="5637" max="5637" width="11.5546875" style="221" bestFit="1" customWidth="1"/>
    <col min="5638" max="5638" width="12.33203125" style="221" bestFit="1" customWidth="1"/>
    <col min="5639" max="5888" width="11.44140625" style="221"/>
    <col min="5889" max="5889" width="4.88671875" style="221" bestFit="1" customWidth="1"/>
    <col min="5890" max="5890" width="46.6640625" style="221" bestFit="1" customWidth="1"/>
    <col min="5891" max="5891" width="11.5546875" style="221" bestFit="1" customWidth="1"/>
    <col min="5892" max="5892" width="11.44140625" style="221"/>
    <col min="5893" max="5893" width="11.5546875" style="221" bestFit="1" customWidth="1"/>
    <col min="5894" max="5894" width="12.33203125" style="221" bestFit="1" customWidth="1"/>
    <col min="5895" max="6144" width="11.44140625" style="221"/>
    <col min="6145" max="6145" width="4.88671875" style="221" bestFit="1" customWidth="1"/>
    <col min="6146" max="6146" width="46.6640625" style="221" bestFit="1" customWidth="1"/>
    <col min="6147" max="6147" width="11.5546875" style="221" bestFit="1" customWidth="1"/>
    <col min="6148" max="6148" width="11.44140625" style="221"/>
    <col min="6149" max="6149" width="11.5546875" style="221" bestFit="1" customWidth="1"/>
    <col min="6150" max="6150" width="12.33203125" style="221" bestFit="1" customWidth="1"/>
    <col min="6151" max="6400" width="11.44140625" style="221"/>
    <col min="6401" max="6401" width="4.88671875" style="221" bestFit="1" customWidth="1"/>
    <col min="6402" max="6402" width="46.6640625" style="221" bestFit="1" customWidth="1"/>
    <col min="6403" max="6403" width="11.5546875" style="221" bestFit="1" customWidth="1"/>
    <col min="6404" max="6404" width="11.44140625" style="221"/>
    <col min="6405" max="6405" width="11.5546875" style="221" bestFit="1" customWidth="1"/>
    <col min="6406" max="6406" width="12.33203125" style="221" bestFit="1" customWidth="1"/>
    <col min="6407" max="6656" width="11.44140625" style="221"/>
    <col min="6657" max="6657" width="4.88671875" style="221" bestFit="1" customWidth="1"/>
    <col min="6658" max="6658" width="46.6640625" style="221" bestFit="1" customWidth="1"/>
    <col min="6659" max="6659" width="11.5546875" style="221" bestFit="1" customWidth="1"/>
    <col min="6660" max="6660" width="11.44140625" style="221"/>
    <col min="6661" max="6661" width="11.5546875" style="221" bestFit="1" customWidth="1"/>
    <col min="6662" max="6662" width="12.33203125" style="221" bestFit="1" customWidth="1"/>
    <col min="6663" max="6912" width="11.44140625" style="221"/>
    <col min="6913" max="6913" width="4.88671875" style="221" bestFit="1" customWidth="1"/>
    <col min="6914" max="6914" width="46.6640625" style="221" bestFit="1" customWidth="1"/>
    <col min="6915" max="6915" width="11.5546875" style="221" bestFit="1" customWidth="1"/>
    <col min="6916" max="6916" width="11.44140625" style="221"/>
    <col min="6917" max="6917" width="11.5546875" style="221" bestFit="1" customWidth="1"/>
    <col min="6918" max="6918" width="12.33203125" style="221" bestFit="1" customWidth="1"/>
    <col min="6919" max="7168" width="11.44140625" style="221"/>
    <col min="7169" max="7169" width="4.88671875" style="221" bestFit="1" customWidth="1"/>
    <col min="7170" max="7170" width="46.6640625" style="221" bestFit="1" customWidth="1"/>
    <col min="7171" max="7171" width="11.5546875" style="221" bestFit="1" customWidth="1"/>
    <col min="7172" max="7172" width="11.44140625" style="221"/>
    <col min="7173" max="7173" width="11.5546875" style="221" bestFit="1" customWidth="1"/>
    <col min="7174" max="7174" width="12.33203125" style="221" bestFit="1" customWidth="1"/>
    <col min="7175" max="7424" width="11.44140625" style="221"/>
    <col min="7425" max="7425" width="4.88671875" style="221" bestFit="1" customWidth="1"/>
    <col min="7426" max="7426" width="46.6640625" style="221" bestFit="1" customWidth="1"/>
    <col min="7427" max="7427" width="11.5546875" style="221" bestFit="1" customWidth="1"/>
    <col min="7428" max="7428" width="11.44140625" style="221"/>
    <col min="7429" max="7429" width="11.5546875" style="221" bestFit="1" customWidth="1"/>
    <col min="7430" max="7430" width="12.33203125" style="221" bestFit="1" customWidth="1"/>
    <col min="7431" max="7680" width="11.44140625" style="221"/>
    <col min="7681" max="7681" width="4.88671875" style="221" bestFit="1" customWidth="1"/>
    <col min="7682" max="7682" width="46.6640625" style="221" bestFit="1" customWidth="1"/>
    <col min="7683" max="7683" width="11.5546875" style="221" bestFit="1" customWidth="1"/>
    <col min="7684" max="7684" width="11.44140625" style="221"/>
    <col min="7685" max="7685" width="11.5546875" style="221" bestFit="1" customWidth="1"/>
    <col min="7686" max="7686" width="12.33203125" style="221" bestFit="1" customWidth="1"/>
    <col min="7687" max="7936" width="11.44140625" style="221"/>
    <col min="7937" max="7937" width="4.88671875" style="221" bestFit="1" customWidth="1"/>
    <col min="7938" max="7938" width="46.6640625" style="221" bestFit="1" customWidth="1"/>
    <col min="7939" max="7939" width="11.5546875" style="221" bestFit="1" customWidth="1"/>
    <col min="7940" max="7940" width="11.44140625" style="221"/>
    <col min="7941" max="7941" width="11.5546875" style="221" bestFit="1" customWidth="1"/>
    <col min="7942" max="7942" width="12.33203125" style="221" bestFit="1" customWidth="1"/>
    <col min="7943" max="8192" width="11.44140625" style="221"/>
    <col min="8193" max="8193" width="4.88671875" style="221" bestFit="1" customWidth="1"/>
    <col min="8194" max="8194" width="46.6640625" style="221" bestFit="1" customWidth="1"/>
    <col min="8195" max="8195" width="11.5546875" style="221" bestFit="1" customWidth="1"/>
    <col min="8196" max="8196" width="11.44140625" style="221"/>
    <col min="8197" max="8197" width="11.5546875" style="221" bestFit="1" customWidth="1"/>
    <col min="8198" max="8198" width="12.33203125" style="221" bestFit="1" customWidth="1"/>
    <col min="8199" max="8448" width="11.44140625" style="221"/>
    <col min="8449" max="8449" width="4.88671875" style="221" bestFit="1" customWidth="1"/>
    <col min="8450" max="8450" width="46.6640625" style="221" bestFit="1" customWidth="1"/>
    <col min="8451" max="8451" width="11.5546875" style="221" bestFit="1" customWidth="1"/>
    <col min="8452" max="8452" width="11.44140625" style="221"/>
    <col min="8453" max="8453" width="11.5546875" style="221" bestFit="1" customWidth="1"/>
    <col min="8454" max="8454" width="12.33203125" style="221" bestFit="1" customWidth="1"/>
    <col min="8455" max="8704" width="11.44140625" style="221"/>
    <col min="8705" max="8705" width="4.88671875" style="221" bestFit="1" customWidth="1"/>
    <col min="8706" max="8706" width="46.6640625" style="221" bestFit="1" customWidth="1"/>
    <col min="8707" max="8707" width="11.5546875" style="221" bestFit="1" customWidth="1"/>
    <col min="8708" max="8708" width="11.44140625" style="221"/>
    <col min="8709" max="8709" width="11.5546875" style="221" bestFit="1" customWidth="1"/>
    <col min="8710" max="8710" width="12.33203125" style="221" bestFit="1" customWidth="1"/>
    <col min="8711" max="8960" width="11.44140625" style="221"/>
    <col min="8961" max="8961" width="4.88671875" style="221" bestFit="1" customWidth="1"/>
    <col min="8962" max="8962" width="46.6640625" style="221" bestFit="1" customWidth="1"/>
    <col min="8963" max="8963" width="11.5546875" style="221" bestFit="1" customWidth="1"/>
    <col min="8964" max="8964" width="11.44140625" style="221"/>
    <col min="8965" max="8965" width="11.5546875" style="221" bestFit="1" customWidth="1"/>
    <col min="8966" max="8966" width="12.33203125" style="221" bestFit="1" customWidth="1"/>
    <col min="8967" max="9216" width="11.44140625" style="221"/>
    <col min="9217" max="9217" width="4.88671875" style="221" bestFit="1" customWidth="1"/>
    <col min="9218" max="9218" width="46.6640625" style="221" bestFit="1" customWidth="1"/>
    <col min="9219" max="9219" width="11.5546875" style="221" bestFit="1" customWidth="1"/>
    <col min="9220" max="9220" width="11.44140625" style="221"/>
    <col min="9221" max="9221" width="11.5546875" style="221" bestFit="1" customWidth="1"/>
    <col min="9222" max="9222" width="12.33203125" style="221" bestFit="1" customWidth="1"/>
    <col min="9223" max="9472" width="11.44140625" style="221"/>
    <col min="9473" max="9473" width="4.88671875" style="221" bestFit="1" customWidth="1"/>
    <col min="9474" max="9474" width="46.6640625" style="221" bestFit="1" customWidth="1"/>
    <col min="9475" max="9475" width="11.5546875" style="221" bestFit="1" customWidth="1"/>
    <col min="9476" max="9476" width="11.44140625" style="221"/>
    <col min="9477" max="9477" width="11.5546875" style="221" bestFit="1" customWidth="1"/>
    <col min="9478" max="9478" width="12.33203125" style="221" bestFit="1" customWidth="1"/>
    <col min="9479" max="9728" width="11.44140625" style="221"/>
    <col min="9729" max="9729" width="4.88671875" style="221" bestFit="1" customWidth="1"/>
    <col min="9730" max="9730" width="46.6640625" style="221" bestFit="1" customWidth="1"/>
    <col min="9731" max="9731" width="11.5546875" style="221" bestFit="1" customWidth="1"/>
    <col min="9732" max="9732" width="11.44140625" style="221"/>
    <col min="9733" max="9733" width="11.5546875" style="221" bestFit="1" customWidth="1"/>
    <col min="9734" max="9734" width="12.33203125" style="221" bestFit="1" customWidth="1"/>
    <col min="9735" max="9984" width="11.44140625" style="221"/>
    <col min="9985" max="9985" width="4.88671875" style="221" bestFit="1" customWidth="1"/>
    <col min="9986" max="9986" width="46.6640625" style="221" bestFit="1" customWidth="1"/>
    <col min="9987" max="9987" width="11.5546875" style="221" bestFit="1" customWidth="1"/>
    <col min="9988" max="9988" width="11.44140625" style="221"/>
    <col min="9989" max="9989" width="11.5546875" style="221" bestFit="1" customWidth="1"/>
    <col min="9990" max="9990" width="12.33203125" style="221" bestFit="1" customWidth="1"/>
    <col min="9991" max="10240" width="11.44140625" style="221"/>
    <col min="10241" max="10241" width="4.88671875" style="221" bestFit="1" customWidth="1"/>
    <col min="10242" max="10242" width="46.6640625" style="221" bestFit="1" customWidth="1"/>
    <col min="10243" max="10243" width="11.5546875" style="221" bestFit="1" customWidth="1"/>
    <col min="10244" max="10244" width="11.44140625" style="221"/>
    <col min="10245" max="10245" width="11.5546875" style="221" bestFit="1" customWidth="1"/>
    <col min="10246" max="10246" width="12.33203125" style="221" bestFit="1" customWidth="1"/>
    <col min="10247" max="10496" width="11.44140625" style="221"/>
    <col min="10497" max="10497" width="4.88671875" style="221" bestFit="1" customWidth="1"/>
    <col min="10498" max="10498" width="46.6640625" style="221" bestFit="1" customWidth="1"/>
    <col min="10499" max="10499" width="11.5546875" style="221" bestFit="1" customWidth="1"/>
    <col min="10500" max="10500" width="11.44140625" style="221"/>
    <col min="10501" max="10501" width="11.5546875" style="221" bestFit="1" customWidth="1"/>
    <col min="10502" max="10502" width="12.33203125" style="221" bestFit="1" customWidth="1"/>
    <col min="10503" max="10752" width="11.44140625" style="221"/>
    <col min="10753" max="10753" width="4.88671875" style="221" bestFit="1" customWidth="1"/>
    <col min="10754" max="10754" width="46.6640625" style="221" bestFit="1" customWidth="1"/>
    <col min="10755" max="10755" width="11.5546875" style="221" bestFit="1" customWidth="1"/>
    <col min="10756" max="10756" width="11.44140625" style="221"/>
    <col min="10757" max="10757" width="11.5546875" style="221" bestFit="1" customWidth="1"/>
    <col min="10758" max="10758" width="12.33203125" style="221" bestFit="1" customWidth="1"/>
    <col min="10759" max="11008" width="11.44140625" style="221"/>
    <col min="11009" max="11009" width="4.88671875" style="221" bestFit="1" customWidth="1"/>
    <col min="11010" max="11010" width="46.6640625" style="221" bestFit="1" customWidth="1"/>
    <col min="11011" max="11011" width="11.5546875" style="221" bestFit="1" customWidth="1"/>
    <col min="11012" max="11012" width="11.44140625" style="221"/>
    <col min="11013" max="11013" width="11.5546875" style="221" bestFit="1" customWidth="1"/>
    <col min="11014" max="11014" width="12.33203125" style="221" bestFit="1" customWidth="1"/>
    <col min="11015" max="11264" width="11.44140625" style="221"/>
    <col min="11265" max="11265" width="4.88671875" style="221" bestFit="1" customWidth="1"/>
    <col min="11266" max="11266" width="46.6640625" style="221" bestFit="1" customWidth="1"/>
    <col min="11267" max="11267" width="11.5546875" style="221" bestFit="1" customWidth="1"/>
    <col min="11268" max="11268" width="11.44140625" style="221"/>
    <col min="11269" max="11269" width="11.5546875" style="221" bestFit="1" customWidth="1"/>
    <col min="11270" max="11270" width="12.33203125" style="221" bestFit="1" customWidth="1"/>
    <col min="11271" max="11520" width="11.44140625" style="221"/>
    <col min="11521" max="11521" width="4.88671875" style="221" bestFit="1" customWidth="1"/>
    <col min="11522" max="11522" width="46.6640625" style="221" bestFit="1" customWidth="1"/>
    <col min="11523" max="11523" width="11.5546875" style="221" bestFit="1" customWidth="1"/>
    <col min="11524" max="11524" width="11.44140625" style="221"/>
    <col min="11525" max="11525" width="11.5546875" style="221" bestFit="1" customWidth="1"/>
    <col min="11526" max="11526" width="12.33203125" style="221" bestFit="1" customWidth="1"/>
    <col min="11527" max="11776" width="11.44140625" style="221"/>
    <col min="11777" max="11777" width="4.88671875" style="221" bestFit="1" customWidth="1"/>
    <col min="11778" max="11778" width="46.6640625" style="221" bestFit="1" customWidth="1"/>
    <col min="11779" max="11779" width="11.5546875" style="221" bestFit="1" customWidth="1"/>
    <col min="11780" max="11780" width="11.44140625" style="221"/>
    <col min="11781" max="11781" width="11.5546875" style="221" bestFit="1" customWidth="1"/>
    <col min="11782" max="11782" width="12.33203125" style="221" bestFit="1" customWidth="1"/>
    <col min="11783" max="12032" width="11.44140625" style="221"/>
    <col min="12033" max="12033" width="4.88671875" style="221" bestFit="1" customWidth="1"/>
    <col min="12034" max="12034" width="46.6640625" style="221" bestFit="1" customWidth="1"/>
    <col min="12035" max="12035" width="11.5546875" style="221" bestFit="1" customWidth="1"/>
    <col min="12036" max="12036" width="11.44140625" style="221"/>
    <col min="12037" max="12037" width="11.5546875" style="221" bestFit="1" customWidth="1"/>
    <col min="12038" max="12038" width="12.33203125" style="221" bestFit="1" customWidth="1"/>
    <col min="12039" max="12288" width="11.44140625" style="221"/>
    <col min="12289" max="12289" width="4.88671875" style="221" bestFit="1" customWidth="1"/>
    <col min="12290" max="12290" width="46.6640625" style="221" bestFit="1" customWidth="1"/>
    <col min="12291" max="12291" width="11.5546875" style="221" bestFit="1" customWidth="1"/>
    <col min="12292" max="12292" width="11.44140625" style="221"/>
    <col min="12293" max="12293" width="11.5546875" style="221" bestFit="1" customWidth="1"/>
    <col min="12294" max="12294" width="12.33203125" style="221" bestFit="1" customWidth="1"/>
    <col min="12295" max="12544" width="11.44140625" style="221"/>
    <col min="12545" max="12545" width="4.88671875" style="221" bestFit="1" customWidth="1"/>
    <col min="12546" max="12546" width="46.6640625" style="221" bestFit="1" customWidth="1"/>
    <col min="12547" max="12547" width="11.5546875" style="221" bestFit="1" customWidth="1"/>
    <col min="12548" max="12548" width="11.44140625" style="221"/>
    <col min="12549" max="12549" width="11.5546875" style="221" bestFit="1" customWidth="1"/>
    <col min="12550" max="12550" width="12.33203125" style="221" bestFit="1" customWidth="1"/>
    <col min="12551" max="12800" width="11.44140625" style="221"/>
    <col min="12801" max="12801" width="4.88671875" style="221" bestFit="1" customWidth="1"/>
    <col min="12802" max="12802" width="46.6640625" style="221" bestFit="1" customWidth="1"/>
    <col min="12803" max="12803" width="11.5546875" style="221" bestFit="1" customWidth="1"/>
    <col min="12804" max="12804" width="11.44140625" style="221"/>
    <col min="12805" max="12805" width="11.5546875" style="221" bestFit="1" customWidth="1"/>
    <col min="12806" max="12806" width="12.33203125" style="221" bestFit="1" customWidth="1"/>
    <col min="12807" max="13056" width="11.44140625" style="221"/>
    <col min="13057" max="13057" width="4.88671875" style="221" bestFit="1" customWidth="1"/>
    <col min="13058" max="13058" width="46.6640625" style="221" bestFit="1" customWidth="1"/>
    <col min="13059" max="13059" width="11.5546875" style="221" bestFit="1" customWidth="1"/>
    <col min="13060" max="13060" width="11.44140625" style="221"/>
    <col min="13061" max="13061" width="11.5546875" style="221" bestFit="1" customWidth="1"/>
    <col min="13062" max="13062" width="12.33203125" style="221" bestFit="1" customWidth="1"/>
    <col min="13063" max="13312" width="11.44140625" style="221"/>
    <col min="13313" max="13313" width="4.88671875" style="221" bestFit="1" customWidth="1"/>
    <col min="13314" max="13314" width="46.6640625" style="221" bestFit="1" customWidth="1"/>
    <col min="13315" max="13315" width="11.5546875" style="221" bestFit="1" customWidth="1"/>
    <col min="13316" max="13316" width="11.44140625" style="221"/>
    <col min="13317" max="13317" width="11.5546875" style="221" bestFit="1" customWidth="1"/>
    <col min="13318" max="13318" width="12.33203125" style="221" bestFit="1" customWidth="1"/>
    <col min="13319" max="13568" width="11.44140625" style="221"/>
    <col min="13569" max="13569" width="4.88671875" style="221" bestFit="1" customWidth="1"/>
    <col min="13570" max="13570" width="46.6640625" style="221" bestFit="1" customWidth="1"/>
    <col min="13571" max="13571" width="11.5546875" style="221" bestFit="1" customWidth="1"/>
    <col min="13572" max="13572" width="11.44140625" style="221"/>
    <col min="13573" max="13573" width="11.5546875" style="221" bestFit="1" customWidth="1"/>
    <col min="13574" max="13574" width="12.33203125" style="221" bestFit="1" customWidth="1"/>
    <col min="13575" max="13824" width="11.44140625" style="221"/>
    <col min="13825" max="13825" width="4.88671875" style="221" bestFit="1" customWidth="1"/>
    <col min="13826" max="13826" width="46.6640625" style="221" bestFit="1" customWidth="1"/>
    <col min="13827" max="13827" width="11.5546875" style="221" bestFit="1" customWidth="1"/>
    <col min="13828" max="13828" width="11.44140625" style="221"/>
    <col min="13829" max="13829" width="11.5546875" style="221" bestFit="1" customWidth="1"/>
    <col min="13830" max="13830" width="12.33203125" style="221" bestFit="1" customWidth="1"/>
    <col min="13831" max="14080" width="11.44140625" style="221"/>
    <col min="14081" max="14081" width="4.88671875" style="221" bestFit="1" customWidth="1"/>
    <col min="14082" max="14082" width="46.6640625" style="221" bestFit="1" customWidth="1"/>
    <col min="14083" max="14083" width="11.5546875" style="221" bestFit="1" customWidth="1"/>
    <col min="14084" max="14084" width="11.44140625" style="221"/>
    <col min="14085" max="14085" width="11.5546875" style="221" bestFit="1" customWidth="1"/>
    <col min="14086" max="14086" width="12.33203125" style="221" bestFit="1" customWidth="1"/>
    <col min="14087" max="14336" width="11.44140625" style="221"/>
    <col min="14337" max="14337" width="4.88671875" style="221" bestFit="1" customWidth="1"/>
    <col min="14338" max="14338" width="46.6640625" style="221" bestFit="1" customWidth="1"/>
    <col min="14339" max="14339" width="11.5546875" style="221" bestFit="1" customWidth="1"/>
    <col min="14340" max="14340" width="11.44140625" style="221"/>
    <col min="14341" max="14341" width="11.5546875" style="221" bestFit="1" customWidth="1"/>
    <col min="14342" max="14342" width="12.33203125" style="221" bestFit="1" customWidth="1"/>
    <col min="14343" max="14592" width="11.44140625" style="221"/>
    <col min="14593" max="14593" width="4.88671875" style="221" bestFit="1" customWidth="1"/>
    <col min="14594" max="14594" width="46.6640625" style="221" bestFit="1" customWidth="1"/>
    <col min="14595" max="14595" width="11.5546875" style="221" bestFit="1" customWidth="1"/>
    <col min="14596" max="14596" width="11.44140625" style="221"/>
    <col min="14597" max="14597" width="11.5546875" style="221" bestFit="1" customWidth="1"/>
    <col min="14598" max="14598" width="12.33203125" style="221" bestFit="1" customWidth="1"/>
    <col min="14599" max="14848" width="11.44140625" style="221"/>
    <col min="14849" max="14849" width="4.88671875" style="221" bestFit="1" customWidth="1"/>
    <col min="14850" max="14850" width="46.6640625" style="221" bestFit="1" customWidth="1"/>
    <col min="14851" max="14851" width="11.5546875" style="221" bestFit="1" customWidth="1"/>
    <col min="14852" max="14852" width="11.44140625" style="221"/>
    <col min="14853" max="14853" width="11.5546875" style="221" bestFit="1" customWidth="1"/>
    <col min="14854" max="14854" width="12.33203125" style="221" bestFit="1" customWidth="1"/>
    <col min="14855" max="15104" width="11.44140625" style="221"/>
    <col min="15105" max="15105" width="4.88671875" style="221" bestFit="1" customWidth="1"/>
    <col min="15106" max="15106" width="46.6640625" style="221" bestFit="1" customWidth="1"/>
    <col min="15107" max="15107" width="11.5546875" style="221" bestFit="1" customWidth="1"/>
    <col min="15108" max="15108" width="11.44140625" style="221"/>
    <col min="15109" max="15109" width="11.5546875" style="221" bestFit="1" customWidth="1"/>
    <col min="15110" max="15110" width="12.33203125" style="221" bestFit="1" customWidth="1"/>
    <col min="15111" max="15360" width="11.44140625" style="221"/>
    <col min="15361" max="15361" width="4.88671875" style="221" bestFit="1" customWidth="1"/>
    <col min="15362" max="15362" width="46.6640625" style="221" bestFit="1" customWidth="1"/>
    <col min="15363" max="15363" width="11.5546875" style="221" bestFit="1" customWidth="1"/>
    <col min="15364" max="15364" width="11.44140625" style="221"/>
    <col min="15365" max="15365" width="11.5546875" style="221" bestFit="1" customWidth="1"/>
    <col min="15366" max="15366" width="12.33203125" style="221" bestFit="1" customWidth="1"/>
    <col min="15367" max="15616" width="11.44140625" style="221"/>
    <col min="15617" max="15617" width="4.88671875" style="221" bestFit="1" customWidth="1"/>
    <col min="15618" max="15618" width="46.6640625" style="221" bestFit="1" customWidth="1"/>
    <col min="15619" max="15619" width="11.5546875" style="221" bestFit="1" customWidth="1"/>
    <col min="15620" max="15620" width="11.44140625" style="221"/>
    <col min="15621" max="15621" width="11.5546875" style="221" bestFit="1" customWidth="1"/>
    <col min="15622" max="15622" width="12.33203125" style="221" bestFit="1" customWidth="1"/>
    <col min="15623" max="15872" width="11.44140625" style="221"/>
    <col min="15873" max="15873" width="4.88671875" style="221" bestFit="1" customWidth="1"/>
    <col min="15874" max="15874" width="46.6640625" style="221" bestFit="1" customWidth="1"/>
    <col min="15875" max="15875" width="11.5546875" style="221" bestFit="1" customWidth="1"/>
    <col min="15876" max="15876" width="11.44140625" style="221"/>
    <col min="15877" max="15877" width="11.5546875" style="221" bestFit="1" customWidth="1"/>
    <col min="15878" max="15878" width="12.33203125" style="221" bestFit="1" customWidth="1"/>
    <col min="15879" max="16128" width="11.44140625" style="221"/>
    <col min="16129" max="16129" width="4.88671875" style="221" bestFit="1" customWidth="1"/>
    <col min="16130" max="16130" width="46.6640625" style="221" bestFit="1" customWidth="1"/>
    <col min="16131" max="16131" width="11.5546875" style="221" bestFit="1" customWidth="1"/>
    <col min="16132" max="16132" width="11.44140625" style="221"/>
    <col min="16133" max="16133" width="11.5546875" style="221" bestFit="1" customWidth="1"/>
    <col min="16134" max="16134" width="12.33203125" style="221" bestFit="1" customWidth="1"/>
    <col min="16135" max="16384" width="11.44140625" style="221"/>
  </cols>
  <sheetData>
    <row r="2" spans="1:6" ht="15.6" x14ac:dyDescent="0.25">
      <c r="A2" s="127"/>
      <c r="B2" s="128" t="s">
        <v>514</v>
      </c>
      <c r="C2" s="129"/>
      <c r="D2" s="130"/>
      <c r="E2" s="131"/>
      <c r="F2" s="132"/>
    </row>
    <row r="3" spans="1:6" ht="15.6" x14ac:dyDescent="0.3">
      <c r="A3" s="100" t="s">
        <v>29</v>
      </c>
      <c r="B3" s="101" t="s">
        <v>30</v>
      </c>
      <c r="C3" s="102" t="s">
        <v>2</v>
      </c>
      <c r="D3" s="103" t="s">
        <v>1</v>
      </c>
      <c r="E3" s="104" t="s">
        <v>3</v>
      </c>
      <c r="F3" s="105" t="s">
        <v>31</v>
      </c>
    </row>
    <row r="4" spans="1:6" ht="15" x14ac:dyDescent="0.25">
      <c r="A4" s="517" t="s">
        <v>32</v>
      </c>
      <c r="B4" s="15" t="s">
        <v>515</v>
      </c>
      <c r="C4" s="16">
        <v>6.4999999999999997E-3</v>
      </c>
      <c r="D4" s="17" t="s">
        <v>6</v>
      </c>
      <c r="E4" s="18">
        <f>Hormigones!F104</f>
        <v>4789.0290000000005</v>
      </c>
      <c r="F4" s="19">
        <f>ROUND(E4*C4,2)</f>
        <v>31.13</v>
      </c>
    </row>
    <row r="5" spans="1:6" ht="15" x14ac:dyDescent="0.25">
      <c r="A5" s="517" t="s">
        <v>35</v>
      </c>
      <c r="B5" s="15" t="s">
        <v>7</v>
      </c>
      <c r="C5" s="16">
        <v>1</v>
      </c>
      <c r="D5" s="17" t="s">
        <v>5</v>
      </c>
      <c r="E5" s="18">
        <v>20</v>
      </c>
      <c r="F5" s="19">
        <f>ROUND(E5*C5,2)</f>
        <v>20</v>
      </c>
    </row>
    <row r="6" spans="1:6" ht="15.6" thickBot="1" x14ac:dyDescent="0.3">
      <c r="A6" s="517"/>
      <c r="B6" s="15"/>
      <c r="C6" s="16"/>
      <c r="D6" s="17"/>
      <c r="E6" s="18"/>
      <c r="F6" s="19"/>
    </row>
    <row r="7" spans="1:6" ht="16.8" thickTop="1" thickBot="1" x14ac:dyDescent="0.35">
      <c r="A7" s="32"/>
      <c r="B7" s="33" t="s">
        <v>69</v>
      </c>
      <c r="C7" s="533"/>
      <c r="D7" s="35"/>
      <c r="E7" s="36"/>
      <c r="F7" s="534">
        <f>SUM(F4:F6)</f>
        <v>51.129999999999995</v>
      </c>
    </row>
    <row r="8" spans="1:6" ht="13.8" thickTop="1" x14ac:dyDescent="0.25"/>
    <row r="9" spans="1:6" ht="16.2" thickBot="1" x14ac:dyDescent="0.35">
      <c r="A9" s="95"/>
      <c r="B9" s="81" t="s">
        <v>516</v>
      </c>
      <c r="C9" s="535"/>
      <c r="D9" s="536"/>
      <c r="E9" s="536"/>
      <c r="F9" s="537"/>
    </row>
    <row r="10" spans="1:6" ht="16.2" thickTop="1" x14ac:dyDescent="0.3">
      <c r="A10" s="100" t="s">
        <v>29</v>
      </c>
      <c r="B10" s="101" t="s">
        <v>30</v>
      </c>
      <c r="C10" s="102" t="s">
        <v>2</v>
      </c>
      <c r="D10" s="103" t="s">
        <v>1</v>
      </c>
      <c r="E10" s="104" t="s">
        <v>3</v>
      </c>
      <c r="F10" s="105" t="s">
        <v>31</v>
      </c>
    </row>
    <row r="11" spans="1:6" ht="15" x14ac:dyDescent="0.25">
      <c r="A11" s="14" t="s">
        <v>32</v>
      </c>
      <c r="B11" s="15" t="s">
        <v>517</v>
      </c>
      <c r="C11" s="16">
        <v>0.02</v>
      </c>
      <c r="D11" s="17" t="s">
        <v>6</v>
      </c>
      <c r="E11" s="18">
        <f>Hormigones!F114</f>
        <v>5899.43</v>
      </c>
      <c r="F11" s="19">
        <f>ROUND(E11*C11,2)</f>
        <v>117.99</v>
      </c>
    </row>
    <row r="12" spans="1:6" ht="15" x14ac:dyDescent="0.25">
      <c r="A12" s="14" t="s">
        <v>35</v>
      </c>
      <c r="B12" s="15" t="s">
        <v>86</v>
      </c>
      <c r="C12" s="16">
        <v>0.05</v>
      </c>
      <c r="D12" s="17" t="s">
        <v>508</v>
      </c>
      <c r="E12" s="18">
        <f>Hormigones!F9</f>
        <v>244.42</v>
      </c>
      <c r="F12" s="19">
        <f>ROUND(E12*C12,2)</f>
        <v>12.22</v>
      </c>
    </row>
    <row r="13" spans="1:6" ht="15" x14ac:dyDescent="0.25">
      <c r="A13" s="14" t="s">
        <v>38</v>
      </c>
      <c r="B13" s="15" t="s">
        <v>518</v>
      </c>
      <c r="C13" s="16">
        <v>1</v>
      </c>
      <c r="D13" s="17" t="s">
        <v>519</v>
      </c>
      <c r="E13" s="18">
        <v>110</v>
      </c>
      <c r="F13" s="19">
        <f>ROUND(E13*C13,2)</f>
        <v>110</v>
      </c>
    </row>
    <row r="14" spans="1:6" ht="15" x14ac:dyDescent="0.25">
      <c r="A14" s="14" t="s">
        <v>39</v>
      </c>
      <c r="B14" s="15" t="s">
        <v>520</v>
      </c>
      <c r="C14" s="16">
        <v>1</v>
      </c>
      <c r="D14" s="17" t="s">
        <v>521</v>
      </c>
      <c r="E14" s="18">
        <v>65</v>
      </c>
      <c r="F14" s="19">
        <f>ROUND(E14*C14,2)</f>
        <v>65</v>
      </c>
    </row>
    <row r="15" spans="1:6" ht="15" x14ac:dyDescent="0.25">
      <c r="A15" s="85" t="s">
        <v>41</v>
      </c>
      <c r="B15" s="133" t="s">
        <v>522</v>
      </c>
      <c r="C15" s="16">
        <v>1</v>
      </c>
      <c r="D15" s="17" t="s">
        <v>521</v>
      </c>
      <c r="E15" s="18">
        <v>130</v>
      </c>
      <c r="F15" s="19">
        <f>ROUND(E15*C15,2)</f>
        <v>130</v>
      </c>
    </row>
    <row r="16" spans="1:6" ht="15.6" thickBot="1" x14ac:dyDescent="0.3">
      <c r="A16" s="86"/>
      <c r="B16" s="87"/>
      <c r="C16" s="126"/>
      <c r="D16" s="30"/>
      <c r="E16" s="88"/>
      <c r="F16" s="31"/>
    </row>
    <row r="17" spans="1:6" ht="16.8" thickTop="1" thickBot="1" x14ac:dyDescent="0.35">
      <c r="A17" s="32"/>
      <c r="B17" s="33" t="s">
        <v>100</v>
      </c>
      <c r="C17" s="34"/>
      <c r="D17" s="35"/>
      <c r="E17" s="36"/>
      <c r="F17" s="37">
        <f>SUM(F11:F16)</f>
        <v>435.21000000000004</v>
      </c>
    </row>
    <row r="18" spans="1:6" ht="13.8" thickTop="1" x14ac:dyDescent="0.25"/>
    <row r="19" spans="1:6" ht="15.6" x14ac:dyDescent="0.25">
      <c r="A19" s="235"/>
      <c r="B19" s="236" t="s">
        <v>523</v>
      </c>
      <c r="C19" s="237"/>
      <c r="D19" s="238"/>
      <c r="E19" s="239"/>
      <c r="F19" s="240"/>
    </row>
    <row r="20" spans="1:6" ht="15.6" x14ac:dyDescent="0.3">
      <c r="A20" s="100" t="s">
        <v>29</v>
      </c>
      <c r="B20" s="101" t="s">
        <v>30</v>
      </c>
      <c r="C20" s="102" t="s">
        <v>2</v>
      </c>
      <c r="D20" s="103" t="s">
        <v>1</v>
      </c>
      <c r="E20" s="104" t="s">
        <v>3</v>
      </c>
      <c r="F20" s="105" t="s">
        <v>31</v>
      </c>
    </row>
    <row r="21" spans="1:6" ht="15" x14ac:dyDescent="0.25">
      <c r="A21" s="14" t="s">
        <v>32</v>
      </c>
      <c r="B21" s="165" t="s">
        <v>517</v>
      </c>
      <c r="C21" s="166">
        <f>0.1*0.02</f>
        <v>2E-3</v>
      </c>
      <c r="D21" s="17" t="s">
        <v>6</v>
      </c>
      <c r="E21" s="113">
        <f>E11</f>
        <v>5899.43</v>
      </c>
      <c r="F21" s="125">
        <f>SUM(C21*E21)</f>
        <v>11.798860000000001</v>
      </c>
    </row>
    <row r="22" spans="1:6" ht="15" x14ac:dyDescent="0.25">
      <c r="A22" s="14" t="s">
        <v>35</v>
      </c>
      <c r="B22" s="15" t="s">
        <v>524</v>
      </c>
      <c r="C22" s="166">
        <v>0.12</v>
      </c>
      <c r="D22" s="17" t="s">
        <v>519</v>
      </c>
      <c r="E22" s="113">
        <v>110</v>
      </c>
      <c r="F22" s="125">
        <f>ROUND(E22*C22,2)</f>
        <v>13.2</v>
      </c>
    </row>
    <row r="23" spans="1:6" ht="15" x14ac:dyDescent="0.25">
      <c r="A23" s="14" t="s">
        <v>38</v>
      </c>
      <c r="B23" s="165" t="s">
        <v>525</v>
      </c>
      <c r="C23" s="166">
        <v>1</v>
      </c>
      <c r="D23" s="17" t="s">
        <v>526</v>
      </c>
      <c r="E23" s="113">
        <v>45</v>
      </c>
      <c r="F23" s="125">
        <f>ROUND(E23*C23,2)</f>
        <v>45</v>
      </c>
    </row>
    <row r="24" spans="1:6" ht="15.6" thickBot="1" x14ac:dyDescent="0.3">
      <c r="A24" s="85"/>
      <c r="B24" s="538"/>
      <c r="C24" s="539"/>
      <c r="D24" s="29"/>
      <c r="E24" s="241"/>
      <c r="F24" s="540"/>
    </row>
    <row r="25" spans="1:6" ht="16.8" thickTop="1" thickBot="1" x14ac:dyDescent="0.35">
      <c r="A25" s="32"/>
      <c r="B25" s="33" t="s">
        <v>527</v>
      </c>
      <c r="C25" s="533"/>
      <c r="D25" s="35"/>
      <c r="E25" s="36"/>
      <c r="F25" s="534">
        <f>SUM(F21:F23)</f>
        <v>69.998860000000008</v>
      </c>
    </row>
    <row r="26" spans="1:6" ht="13.8" thickTop="1" x14ac:dyDescent="0.25"/>
    <row r="27" spans="1:6" ht="15.6" x14ac:dyDescent="0.25">
      <c r="A27" s="235"/>
      <c r="B27" s="236" t="s">
        <v>757</v>
      </c>
      <c r="C27" s="237"/>
      <c r="D27" s="238"/>
      <c r="E27" s="239"/>
      <c r="F27" s="240"/>
    </row>
    <row r="28" spans="1:6" ht="15.6" x14ac:dyDescent="0.3">
      <c r="A28" s="100" t="s">
        <v>29</v>
      </c>
      <c r="B28" s="101" t="s">
        <v>30</v>
      </c>
      <c r="C28" s="102" t="s">
        <v>2</v>
      </c>
      <c r="D28" s="103" t="s">
        <v>1</v>
      </c>
      <c r="E28" s="104" t="s">
        <v>3</v>
      </c>
      <c r="F28" s="105" t="s">
        <v>31</v>
      </c>
    </row>
    <row r="29" spans="1:6" ht="15" x14ac:dyDescent="0.25">
      <c r="A29" s="14" t="s">
        <v>32</v>
      </c>
      <c r="B29" s="165" t="s">
        <v>517</v>
      </c>
      <c r="C29" s="166">
        <f>0.1*0.03</f>
        <v>3.0000000000000001E-3</v>
      </c>
      <c r="D29" s="17" t="s">
        <v>6</v>
      </c>
      <c r="E29" s="113">
        <f>E21</f>
        <v>5899.43</v>
      </c>
      <c r="F29" s="125">
        <f>SUM(C29*E29)</f>
        <v>17.69829</v>
      </c>
    </row>
    <row r="30" spans="1:6" ht="15" x14ac:dyDescent="0.25">
      <c r="A30" s="14" t="s">
        <v>35</v>
      </c>
      <c r="B30" s="15" t="s">
        <v>524</v>
      </c>
      <c r="C30" s="166">
        <v>0.12</v>
      </c>
      <c r="D30" s="17" t="s">
        <v>519</v>
      </c>
      <c r="E30" s="113">
        <v>110</v>
      </c>
      <c r="F30" s="125">
        <f>ROUND(E30*C30,2)</f>
        <v>13.2</v>
      </c>
    </row>
    <row r="31" spans="1:6" ht="15" x14ac:dyDescent="0.25">
      <c r="A31" s="14" t="s">
        <v>38</v>
      </c>
      <c r="B31" s="165" t="s">
        <v>525</v>
      </c>
      <c r="C31" s="166">
        <v>1</v>
      </c>
      <c r="D31" s="17" t="s">
        <v>526</v>
      </c>
      <c r="E31" s="113">
        <v>45</v>
      </c>
      <c r="F31" s="125">
        <f>ROUND(E31*C31,2)</f>
        <v>45</v>
      </c>
    </row>
    <row r="32" spans="1:6" ht="15.6" thickBot="1" x14ac:dyDescent="0.3">
      <c r="A32" s="85"/>
      <c r="B32" s="538"/>
      <c r="C32" s="539"/>
      <c r="D32" s="29"/>
      <c r="E32" s="241"/>
      <c r="F32" s="540"/>
    </row>
    <row r="33" spans="1:6" ht="16.8" thickTop="1" thickBot="1" x14ac:dyDescent="0.35">
      <c r="A33" s="32"/>
      <c r="B33" s="33" t="s">
        <v>527</v>
      </c>
      <c r="C33" s="533"/>
      <c r="D33" s="35"/>
      <c r="E33" s="36"/>
      <c r="F33" s="534">
        <f>SUM(F29:F31)</f>
        <v>75.898290000000003</v>
      </c>
    </row>
    <row r="34" spans="1:6" ht="13.8" thickTop="1" x14ac:dyDescent="0.25"/>
    <row r="37" spans="1:6" ht="16.2" thickBot="1" x14ac:dyDescent="0.35">
      <c r="A37" s="226">
        <v>31</v>
      </c>
      <c r="B37" s="541" t="s">
        <v>528</v>
      </c>
      <c r="C37" s="227"/>
      <c r="D37" s="228"/>
      <c r="E37" s="542"/>
      <c r="F37" s="229"/>
    </row>
    <row r="38" spans="1:6" ht="16.2" thickTop="1" x14ac:dyDescent="0.3">
      <c r="A38" s="207" t="s">
        <v>29</v>
      </c>
      <c r="B38" s="208" t="s">
        <v>30</v>
      </c>
      <c r="C38" s="209" t="s">
        <v>2</v>
      </c>
      <c r="D38" s="210" t="s">
        <v>1</v>
      </c>
      <c r="E38" s="211" t="s">
        <v>3</v>
      </c>
      <c r="F38" s="212" t="s">
        <v>31</v>
      </c>
    </row>
    <row r="39" spans="1:6" ht="15" x14ac:dyDescent="0.25">
      <c r="A39" s="428" t="s">
        <v>32</v>
      </c>
      <c r="B39" s="543" t="s">
        <v>517</v>
      </c>
      <c r="C39" s="544">
        <v>0.02</v>
      </c>
      <c r="D39" s="430" t="s">
        <v>6</v>
      </c>
      <c r="E39" s="544">
        <f>E21</f>
        <v>5899.43</v>
      </c>
      <c r="F39" s="545">
        <f t="shared" ref="F39:F44" si="0">SUM(C39*E39)</f>
        <v>117.98860000000001</v>
      </c>
    </row>
    <row r="40" spans="1:6" ht="15" x14ac:dyDescent="0.25">
      <c r="A40" s="428" t="s">
        <v>35</v>
      </c>
      <c r="B40" s="429" t="s">
        <v>86</v>
      </c>
      <c r="C40" s="426">
        <v>0.05</v>
      </c>
      <c r="D40" s="430" t="s">
        <v>508</v>
      </c>
      <c r="E40" s="426">
        <f>E12</f>
        <v>244.42</v>
      </c>
      <c r="F40" s="545">
        <f t="shared" si="0"/>
        <v>12.221</v>
      </c>
    </row>
    <row r="41" spans="1:6" ht="15" x14ac:dyDescent="0.25">
      <c r="A41" s="428" t="s">
        <v>35</v>
      </c>
      <c r="B41" s="429" t="s">
        <v>529</v>
      </c>
      <c r="C41" s="544">
        <v>0.03</v>
      </c>
      <c r="D41" s="430" t="s">
        <v>286</v>
      </c>
      <c r="E41" s="544">
        <v>110</v>
      </c>
      <c r="F41" s="545">
        <f t="shared" si="0"/>
        <v>3.3</v>
      </c>
    </row>
    <row r="42" spans="1:6" ht="15" x14ac:dyDescent="0.25">
      <c r="A42" s="428" t="s">
        <v>38</v>
      </c>
      <c r="B42" s="543" t="s">
        <v>520</v>
      </c>
      <c r="C42" s="544">
        <v>1</v>
      </c>
      <c r="D42" s="430" t="s">
        <v>5</v>
      </c>
      <c r="E42" s="544">
        <v>65</v>
      </c>
      <c r="F42" s="545">
        <f t="shared" si="0"/>
        <v>65</v>
      </c>
    </row>
    <row r="43" spans="1:6" ht="15" x14ac:dyDescent="0.25">
      <c r="A43" s="428" t="s">
        <v>39</v>
      </c>
      <c r="B43" s="543" t="s">
        <v>7</v>
      </c>
      <c r="C43" s="544">
        <v>1</v>
      </c>
      <c r="D43" s="430" t="s">
        <v>5</v>
      </c>
      <c r="E43" s="544">
        <v>125</v>
      </c>
      <c r="F43" s="545">
        <f t="shared" si="0"/>
        <v>125</v>
      </c>
    </row>
    <row r="44" spans="1:6" ht="15" x14ac:dyDescent="0.25">
      <c r="A44" s="432" t="s">
        <v>43</v>
      </c>
      <c r="B44" s="546" t="s">
        <v>530</v>
      </c>
      <c r="C44" s="547">
        <v>0.01</v>
      </c>
      <c r="D44" s="548" t="s">
        <v>531</v>
      </c>
      <c r="E44" s="549">
        <v>243.6</v>
      </c>
      <c r="F44" s="545">
        <f t="shared" si="0"/>
        <v>2.4359999999999999</v>
      </c>
    </row>
    <row r="45" spans="1:6" ht="15.6" thickBot="1" x14ac:dyDescent="0.3">
      <c r="A45" s="431"/>
      <c r="B45" s="550"/>
      <c r="C45" s="551"/>
      <c r="D45" s="435"/>
      <c r="E45" s="551"/>
      <c r="F45" s="552"/>
    </row>
    <row r="46" spans="1:6" ht="16.8" thickTop="1" thickBot="1" x14ac:dyDescent="0.35">
      <c r="A46" s="213"/>
      <c r="B46" s="214" t="s">
        <v>100</v>
      </c>
      <c r="C46" s="553"/>
      <c r="D46" s="216"/>
      <c r="E46" s="215"/>
      <c r="F46" s="554">
        <f>SUM(F39:F45)</f>
        <v>325.94559999999996</v>
      </c>
    </row>
    <row r="47" spans="1:6" ht="13.8" thickTop="1" x14ac:dyDescent="0.25"/>
    <row r="48" spans="1:6" ht="16.2" thickBot="1" x14ac:dyDescent="0.35">
      <c r="A48" s="226">
        <v>28</v>
      </c>
      <c r="B48" s="219" t="s">
        <v>532</v>
      </c>
      <c r="C48" s="227"/>
      <c r="D48" s="228"/>
      <c r="E48" s="542"/>
      <c r="F48" s="555"/>
    </row>
    <row r="49" spans="1:6" ht="16.2" thickTop="1" x14ac:dyDescent="0.3">
      <c r="A49" s="207" t="s">
        <v>29</v>
      </c>
      <c r="B49" s="208" t="s">
        <v>30</v>
      </c>
      <c r="C49" s="209" t="s">
        <v>2</v>
      </c>
      <c r="D49" s="210" t="s">
        <v>1</v>
      </c>
      <c r="E49" s="211" t="s">
        <v>3</v>
      </c>
      <c r="F49" s="212" t="s">
        <v>31</v>
      </c>
    </row>
    <row r="50" spans="1:6" ht="15" x14ac:dyDescent="0.25">
      <c r="A50" s="556" t="s">
        <v>32</v>
      </c>
      <c r="B50" s="557" t="s">
        <v>84</v>
      </c>
      <c r="C50" s="558">
        <v>0.08</v>
      </c>
      <c r="D50" s="559" t="s">
        <v>533</v>
      </c>
      <c r="E50" s="549">
        <f>E4</f>
        <v>4789.0290000000005</v>
      </c>
      <c r="F50" s="560">
        <f>ROUND(E50*C50,2)</f>
        <v>383.12</v>
      </c>
    </row>
    <row r="51" spans="1:6" ht="15" x14ac:dyDescent="0.25">
      <c r="A51" s="556" t="s">
        <v>35</v>
      </c>
      <c r="B51" s="557" t="s">
        <v>534</v>
      </c>
      <c r="C51" s="547">
        <v>0.21800000000000003</v>
      </c>
      <c r="D51" s="548" t="s">
        <v>286</v>
      </c>
      <c r="E51" s="549">
        <v>110</v>
      </c>
      <c r="F51" s="560">
        <f>ROUND(E51*C51,2)</f>
        <v>23.98</v>
      </c>
    </row>
    <row r="52" spans="1:6" ht="15" x14ac:dyDescent="0.25">
      <c r="A52" s="556" t="s">
        <v>38</v>
      </c>
      <c r="B52" s="546" t="s">
        <v>535</v>
      </c>
      <c r="C52" s="547">
        <v>1</v>
      </c>
      <c r="D52" s="548" t="s">
        <v>5</v>
      </c>
      <c r="E52" s="549">
        <v>20</v>
      </c>
      <c r="F52" s="560">
        <f>ROUND(E52*C52,2)</f>
        <v>20</v>
      </c>
    </row>
    <row r="53" spans="1:6" ht="15" x14ac:dyDescent="0.25">
      <c r="A53" s="556" t="s">
        <v>39</v>
      </c>
      <c r="B53" s="546" t="s">
        <v>530</v>
      </c>
      <c r="C53" s="547">
        <v>0.06</v>
      </c>
      <c r="D53" s="548" t="s">
        <v>531</v>
      </c>
      <c r="E53" s="549">
        <v>243.6</v>
      </c>
      <c r="F53" s="560">
        <f>ROUND(E53*C53,2)</f>
        <v>14.62</v>
      </c>
    </row>
    <row r="54" spans="1:6" ht="15" x14ac:dyDescent="0.25">
      <c r="A54" s="556" t="s">
        <v>41</v>
      </c>
      <c r="B54" s="557" t="s">
        <v>536</v>
      </c>
      <c r="C54" s="561">
        <v>1</v>
      </c>
      <c r="D54" s="548" t="s">
        <v>5</v>
      </c>
      <c r="E54" s="549">
        <v>60</v>
      </c>
      <c r="F54" s="560">
        <f>ROUND(E54*C54,2)</f>
        <v>60</v>
      </c>
    </row>
    <row r="55" spans="1:6" ht="15.6" thickBot="1" x14ac:dyDescent="0.3">
      <c r="A55" s="562"/>
      <c r="B55" s="563"/>
      <c r="C55" s="563"/>
      <c r="D55" s="564"/>
      <c r="E55" s="559"/>
      <c r="F55" s="560"/>
    </row>
    <row r="56" spans="1:6" ht="16.8" thickTop="1" thickBot="1" x14ac:dyDescent="0.35">
      <c r="A56" s="213"/>
      <c r="B56" s="214" t="s">
        <v>100</v>
      </c>
      <c r="C56" s="215"/>
      <c r="D56" s="216"/>
      <c r="E56" s="215"/>
      <c r="F56" s="217">
        <f>SUM(F50:F55)</f>
        <v>501.72</v>
      </c>
    </row>
    <row r="57" spans="1:6" ht="13.8" thickTop="1" x14ac:dyDescent="0.25"/>
    <row r="58" spans="1:6" ht="16.2" thickBot="1" x14ac:dyDescent="0.35">
      <c r="A58" s="226">
        <v>28</v>
      </c>
      <c r="B58" s="219" t="s">
        <v>537</v>
      </c>
      <c r="C58" s="227"/>
      <c r="D58" s="228"/>
      <c r="E58" s="542"/>
      <c r="F58" s="555"/>
    </row>
    <row r="59" spans="1:6" ht="16.2" thickTop="1" x14ac:dyDescent="0.3">
      <c r="A59" s="207" t="s">
        <v>29</v>
      </c>
      <c r="B59" s="208" t="s">
        <v>30</v>
      </c>
      <c r="C59" s="209" t="s">
        <v>2</v>
      </c>
      <c r="D59" s="210" t="s">
        <v>1</v>
      </c>
      <c r="E59" s="211" t="s">
        <v>3</v>
      </c>
      <c r="F59" s="212" t="s">
        <v>31</v>
      </c>
    </row>
    <row r="60" spans="1:6" ht="15" x14ac:dyDescent="0.25">
      <c r="A60" s="556" t="s">
        <v>32</v>
      </c>
      <c r="B60" s="557" t="s">
        <v>84</v>
      </c>
      <c r="C60" s="558">
        <v>0.08</v>
      </c>
      <c r="D60" s="559" t="s">
        <v>533</v>
      </c>
      <c r="E60" s="549">
        <f>E50</f>
        <v>4789.0290000000005</v>
      </c>
      <c r="F60" s="560">
        <f>ROUND(E60*C60,2)</f>
        <v>383.12</v>
      </c>
    </row>
    <row r="61" spans="1:6" ht="15" x14ac:dyDescent="0.25">
      <c r="A61" s="556" t="s">
        <v>35</v>
      </c>
      <c r="B61" s="557" t="s">
        <v>534</v>
      </c>
      <c r="C61" s="547">
        <v>0.21800000000000003</v>
      </c>
      <c r="D61" s="548" t="s">
        <v>286</v>
      </c>
      <c r="E61" s="549">
        <v>110</v>
      </c>
      <c r="F61" s="560">
        <f>ROUND(E61*C61,2)</f>
        <v>23.98</v>
      </c>
    </row>
    <row r="62" spans="1:6" ht="15" x14ac:dyDescent="0.25">
      <c r="A62" s="428" t="s">
        <v>35</v>
      </c>
      <c r="B62" s="429" t="s">
        <v>86</v>
      </c>
      <c r="C62" s="426">
        <v>0.05</v>
      </c>
      <c r="D62" s="430" t="s">
        <v>508</v>
      </c>
      <c r="E62" s="426">
        <f>E40</f>
        <v>244.42</v>
      </c>
      <c r="F62" s="545">
        <f>SUM(C62*E62)</f>
        <v>12.221</v>
      </c>
    </row>
    <row r="63" spans="1:6" ht="15" x14ac:dyDescent="0.25">
      <c r="A63" s="556" t="s">
        <v>38</v>
      </c>
      <c r="B63" s="546" t="s">
        <v>535</v>
      </c>
      <c r="C63" s="547">
        <v>1</v>
      </c>
      <c r="D63" s="548" t="s">
        <v>5</v>
      </c>
      <c r="E63" s="549">
        <v>20</v>
      </c>
      <c r="F63" s="560">
        <f>ROUND(E63*C63,2)</f>
        <v>20</v>
      </c>
    </row>
    <row r="64" spans="1:6" ht="15" x14ac:dyDescent="0.25">
      <c r="A64" s="556" t="s">
        <v>39</v>
      </c>
      <c r="B64" s="546" t="s">
        <v>530</v>
      </c>
      <c r="C64" s="547">
        <v>0.06</v>
      </c>
      <c r="D64" s="548" t="s">
        <v>531</v>
      </c>
      <c r="E64" s="549">
        <v>243.6</v>
      </c>
      <c r="F64" s="560">
        <f>ROUND(E64*C64,2)</f>
        <v>14.62</v>
      </c>
    </row>
    <row r="65" spans="1:6" ht="15" x14ac:dyDescent="0.25">
      <c r="A65" s="556" t="s">
        <v>41</v>
      </c>
      <c r="B65" s="557" t="s">
        <v>536</v>
      </c>
      <c r="C65" s="561">
        <v>1</v>
      </c>
      <c r="D65" s="548" t="s">
        <v>5</v>
      </c>
      <c r="E65" s="549">
        <v>60</v>
      </c>
      <c r="F65" s="560">
        <f>ROUND(E65*C65,2)</f>
        <v>60</v>
      </c>
    </row>
    <row r="66" spans="1:6" ht="15.6" thickBot="1" x14ac:dyDescent="0.3">
      <c r="A66" s="562"/>
      <c r="B66" s="563"/>
      <c r="C66" s="563"/>
      <c r="D66" s="564"/>
      <c r="E66" s="559"/>
      <c r="F66" s="560"/>
    </row>
    <row r="67" spans="1:6" ht="16.8" thickTop="1" thickBot="1" x14ac:dyDescent="0.35">
      <c r="A67" s="213"/>
      <c r="B67" s="214" t="s">
        <v>100</v>
      </c>
      <c r="C67" s="215"/>
      <c r="D67" s="216"/>
      <c r="E67" s="215"/>
      <c r="F67" s="217">
        <f>SUM(F60:F66)</f>
        <v>513.94100000000003</v>
      </c>
    </row>
    <row r="68" spans="1:6" ht="13.8" thickTop="1" x14ac:dyDescent="0.25"/>
    <row r="70" spans="1:6" ht="16.2" thickBot="1" x14ac:dyDescent="0.35">
      <c r="A70" s="565">
        <v>29</v>
      </c>
      <c r="B70" s="419" t="s">
        <v>538</v>
      </c>
      <c r="C70" s="566"/>
      <c r="D70" s="567"/>
      <c r="E70" s="568"/>
      <c r="F70" s="569"/>
    </row>
    <row r="71" spans="1:6" ht="16.2" thickTop="1" x14ac:dyDescent="0.3">
      <c r="A71" s="207" t="s">
        <v>29</v>
      </c>
      <c r="B71" s="208" t="s">
        <v>30</v>
      </c>
      <c r="C71" s="209" t="s">
        <v>2</v>
      </c>
      <c r="D71" s="210" t="s">
        <v>1</v>
      </c>
      <c r="E71" s="211" t="s">
        <v>3</v>
      </c>
      <c r="F71" s="212" t="s">
        <v>31</v>
      </c>
    </row>
    <row r="72" spans="1:6" ht="15" x14ac:dyDescent="0.25">
      <c r="A72" s="556" t="s">
        <v>32</v>
      </c>
      <c r="B72" s="557" t="s">
        <v>84</v>
      </c>
      <c r="C72" s="558">
        <v>0.05</v>
      </c>
      <c r="D72" s="559" t="s">
        <v>533</v>
      </c>
      <c r="E72" s="549">
        <f>E50</f>
        <v>4789.0290000000005</v>
      </c>
      <c r="F72" s="560">
        <f>ROUND(E72*C72,2)</f>
        <v>239.45</v>
      </c>
    </row>
    <row r="73" spans="1:6" ht="15" x14ac:dyDescent="0.25">
      <c r="A73" s="556" t="s">
        <v>35</v>
      </c>
      <c r="B73" s="557" t="s">
        <v>534</v>
      </c>
      <c r="C73" s="547">
        <v>0.21800000000000003</v>
      </c>
      <c r="D73" s="548" t="s">
        <v>286</v>
      </c>
      <c r="E73" s="549">
        <v>110</v>
      </c>
      <c r="F73" s="560">
        <f>ROUND(E73*C73,2)</f>
        <v>23.98</v>
      </c>
    </row>
    <row r="74" spans="1:6" ht="15" x14ac:dyDescent="0.25">
      <c r="A74" s="556" t="s">
        <v>38</v>
      </c>
      <c r="B74" s="546" t="s">
        <v>539</v>
      </c>
      <c r="C74" s="547">
        <v>1</v>
      </c>
      <c r="D74" s="548" t="s">
        <v>5</v>
      </c>
      <c r="E74" s="549">
        <v>25</v>
      </c>
      <c r="F74" s="560">
        <f>ROUND(E74*C74,2)</f>
        <v>25</v>
      </c>
    </row>
    <row r="75" spans="1:6" ht="15" x14ac:dyDescent="0.25">
      <c r="A75" s="556"/>
      <c r="B75" s="546" t="s">
        <v>641</v>
      </c>
      <c r="C75" s="547">
        <v>0.05</v>
      </c>
      <c r="D75" s="548" t="s">
        <v>642</v>
      </c>
      <c r="E75" s="549">
        <f>Hormigones!F9</f>
        <v>244.42</v>
      </c>
      <c r="F75" s="560">
        <f>ROUND(E75*C75,2)</f>
        <v>12.22</v>
      </c>
    </row>
    <row r="76" spans="1:6" ht="15" x14ac:dyDescent="0.25">
      <c r="A76" s="556"/>
      <c r="B76" s="557" t="s">
        <v>536</v>
      </c>
      <c r="C76" s="561">
        <v>1</v>
      </c>
      <c r="D76" s="548" t="s">
        <v>5</v>
      </c>
      <c r="E76" s="549">
        <v>75</v>
      </c>
      <c r="F76" s="560">
        <f>ROUND(E76*C76,2)</f>
        <v>75</v>
      </c>
    </row>
    <row r="77" spans="1:6" ht="15.6" thickBot="1" x14ac:dyDescent="0.3">
      <c r="A77" s="562"/>
      <c r="B77" s="563"/>
      <c r="C77" s="563"/>
      <c r="D77" s="564"/>
      <c r="E77" s="559"/>
      <c r="F77" s="560"/>
    </row>
    <row r="78" spans="1:6" ht="16.8" thickTop="1" thickBot="1" x14ac:dyDescent="0.35">
      <c r="A78" s="213"/>
      <c r="B78" s="214" t="s">
        <v>100</v>
      </c>
      <c r="C78" s="215"/>
      <c r="D78" s="216"/>
      <c r="E78" s="215"/>
      <c r="F78" s="217">
        <f>SUM(F72:F77)</f>
        <v>375.65000000000003</v>
      </c>
    </row>
    <row r="79" spans="1:6" ht="13.8" thickTop="1" x14ac:dyDescent="0.25"/>
    <row r="80" spans="1:6" ht="16.2" thickBot="1" x14ac:dyDescent="0.35">
      <c r="A80" s="570">
        <v>34</v>
      </c>
      <c r="B80" s="368" t="s">
        <v>540</v>
      </c>
      <c r="C80" s="571"/>
      <c r="D80" s="572"/>
      <c r="E80" s="573"/>
      <c r="F80" s="574"/>
    </row>
    <row r="81" spans="1:6" ht="16.2" thickTop="1" x14ac:dyDescent="0.3">
      <c r="A81" s="100" t="s">
        <v>29</v>
      </c>
      <c r="B81" s="101" t="s">
        <v>30</v>
      </c>
      <c r="C81" s="102" t="s">
        <v>2</v>
      </c>
      <c r="D81" s="103" t="s">
        <v>1</v>
      </c>
      <c r="E81" s="104" t="s">
        <v>3</v>
      </c>
      <c r="F81" s="105" t="s">
        <v>31</v>
      </c>
    </row>
    <row r="82" spans="1:6" ht="15" x14ac:dyDescent="0.25">
      <c r="A82" s="517" t="s">
        <v>32</v>
      </c>
      <c r="B82" s="15" t="s">
        <v>84</v>
      </c>
      <c r="C82" s="16">
        <v>5.0000000000000001E-3</v>
      </c>
      <c r="D82" s="17" t="s">
        <v>533</v>
      </c>
      <c r="E82" s="18">
        <f>E72</f>
        <v>4789.0290000000005</v>
      </c>
      <c r="F82" s="19">
        <f>ROUND(E82*C82,2)</f>
        <v>23.95</v>
      </c>
    </row>
    <row r="83" spans="1:6" ht="15" x14ac:dyDescent="0.25">
      <c r="A83" s="517" t="s">
        <v>35</v>
      </c>
      <c r="B83" s="15" t="s">
        <v>541</v>
      </c>
      <c r="C83" s="16">
        <v>1</v>
      </c>
      <c r="D83" s="17" t="s">
        <v>526</v>
      </c>
      <c r="E83" s="18">
        <v>20</v>
      </c>
      <c r="F83" s="19">
        <f>ROUND(E83*C83,2)</f>
        <v>20</v>
      </c>
    </row>
    <row r="84" spans="1:6" ht="15" x14ac:dyDescent="0.25">
      <c r="A84" s="517" t="s">
        <v>38</v>
      </c>
      <c r="B84" s="15" t="s">
        <v>530</v>
      </c>
      <c r="C84" s="16">
        <v>0.01</v>
      </c>
      <c r="D84" s="17" t="s">
        <v>531</v>
      </c>
      <c r="E84" s="18">
        <v>243.6</v>
      </c>
      <c r="F84" s="19">
        <f>ROUND(E84*C84,2)</f>
        <v>2.44</v>
      </c>
    </row>
    <row r="85" spans="1:6" ht="15" x14ac:dyDescent="0.25">
      <c r="A85" s="517" t="s">
        <v>39</v>
      </c>
      <c r="B85" s="15" t="s">
        <v>7</v>
      </c>
      <c r="C85" s="16">
        <v>1</v>
      </c>
      <c r="D85" s="17" t="s">
        <v>526</v>
      </c>
      <c r="E85" s="18">
        <v>45</v>
      </c>
      <c r="F85" s="19">
        <f>ROUND(E85*C85,2)</f>
        <v>45</v>
      </c>
    </row>
    <row r="86" spans="1:6" ht="16.2" thickBot="1" x14ac:dyDescent="0.35">
      <c r="A86" s="575"/>
      <c r="B86" s="576"/>
      <c r="C86" s="577"/>
      <c r="D86" s="578"/>
      <c r="E86" s="579"/>
      <c r="F86" s="580"/>
    </row>
    <row r="87" spans="1:6" ht="16.8" thickTop="1" thickBot="1" x14ac:dyDescent="0.35">
      <c r="A87" s="32"/>
      <c r="B87" s="33" t="s">
        <v>527</v>
      </c>
      <c r="C87" s="533"/>
      <c r="D87" s="35"/>
      <c r="E87" s="36"/>
      <c r="F87" s="534">
        <f>SUM(F82:F86)</f>
        <v>91.39</v>
      </c>
    </row>
    <row r="88" spans="1:6" ht="13.8" thickTop="1" x14ac:dyDescent="0.25"/>
    <row r="89" spans="1:6" ht="16.2" thickBot="1" x14ac:dyDescent="0.35">
      <c r="A89" s="95"/>
      <c r="B89" s="81" t="s">
        <v>542</v>
      </c>
      <c r="C89" s="535"/>
      <c r="D89" s="536"/>
      <c r="E89" s="536"/>
      <c r="F89" s="537"/>
    </row>
    <row r="90" spans="1:6" ht="16.2" thickTop="1" x14ac:dyDescent="0.3">
      <c r="A90" s="100" t="s">
        <v>29</v>
      </c>
      <c r="B90" s="101" t="s">
        <v>30</v>
      </c>
      <c r="C90" s="102" t="s">
        <v>2</v>
      </c>
      <c r="D90" s="103" t="s">
        <v>1</v>
      </c>
      <c r="E90" s="104" t="s">
        <v>3</v>
      </c>
      <c r="F90" s="105" t="s">
        <v>31</v>
      </c>
    </row>
    <row r="91" spans="1:6" ht="15" x14ac:dyDescent="0.25">
      <c r="A91" s="14" t="s">
        <v>32</v>
      </c>
      <c r="B91" s="15" t="s">
        <v>517</v>
      </c>
      <c r="C91" s="16">
        <v>0.02</v>
      </c>
      <c r="D91" s="17" t="s">
        <v>6</v>
      </c>
      <c r="E91" s="18">
        <f>E39</f>
        <v>5899.43</v>
      </c>
      <c r="F91" s="19">
        <f>ROUND(E91*C91,2)</f>
        <v>117.99</v>
      </c>
    </row>
    <row r="92" spans="1:6" ht="15" x14ac:dyDescent="0.25">
      <c r="A92" s="14" t="s">
        <v>38</v>
      </c>
      <c r="B92" s="15" t="s">
        <v>518</v>
      </c>
      <c r="C92" s="16">
        <v>0.03</v>
      </c>
      <c r="D92" s="17" t="s">
        <v>519</v>
      </c>
      <c r="E92" s="18">
        <v>110</v>
      </c>
      <c r="F92" s="19">
        <f>ROUND(E92*C92,2)</f>
        <v>3.3</v>
      </c>
    </row>
    <row r="93" spans="1:6" ht="15" x14ac:dyDescent="0.25">
      <c r="A93" s="14" t="s">
        <v>39</v>
      </c>
      <c r="B93" s="15" t="s">
        <v>520</v>
      </c>
      <c r="C93" s="16">
        <v>1</v>
      </c>
      <c r="D93" s="17" t="s">
        <v>521</v>
      </c>
      <c r="E93" s="18">
        <v>65</v>
      </c>
      <c r="F93" s="19">
        <f>ROUND(E93*C93,2)</f>
        <v>65</v>
      </c>
    </row>
    <row r="94" spans="1:6" ht="15" x14ac:dyDescent="0.25">
      <c r="A94" s="85" t="s">
        <v>41</v>
      </c>
      <c r="B94" s="133" t="s">
        <v>522</v>
      </c>
      <c r="C94" s="16">
        <v>1</v>
      </c>
      <c r="D94" s="17" t="s">
        <v>521</v>
      </c>
      <c r="E94" s="18">
        <v>130</v>
      </c>
      <c r="F94" s="19">
        <f>ROUND(E94*C94,2)</f>
        <v>130</v>
      </c>
    </row>
    <row r="95" spans="1:6" ht="15.6" thickBot="1" x14ac:dyDescent="0.3">
      <c r="A95" s="86"/>
      <c r="B95" s="87"/>
      <c r="C95" s="126"/>
      <c r="D95" s="30"/>
      <c r="E95" s="88"/>
      <c r="F95" s="31"/>
    </row>
    <row r="96" spans="1:6" ht="16.8" thickTop="1" thickBot="1" x14ac:dyDescent="0.35">
      <c r="A96" s="32"/>
      <c r="B96" s="33" t="s">
        <v>100</v>
      </c>
      <c r="C96" s="34"/>
      <c r="D96" s="35"/>
      <c r="E96" s="36"/>
      <c r="F96" s="37">
        <f>SUM(F91:F95)</f>
        <v>316.28999999999996</v>
      </c>
    </row>
    <row r="97" spans="1:6" ht="13.8" thickTop="1" x14ac:dyDescent="0.25"/>
    <row r="98" spans="1:6" ht="16.2" thickBot="1" x14ac:dyDescent="0.35">
      <c r="A98" s="226">
        <v>31</v>
      </c>
      <c r="B98" s="541" t="s">
        <v>543</v>
      </c>
      <c r="C98" s="227"/>
      <c r="D98" s="228"/>
      <c r="E98" s="542"/>
      <c r="F98" s="229"/>
    </row>
    <row r="99" spans="1:6" ht="16.2" thickTop="1" x14ac:dyDescent="0.3">
      <c r="A99" s="207" t="s">
        <v>29</v>
      </c>
      <c r="B99" s="208" t="s">
        <v>30</v>
      </c>
      <c r="C99" s="209" t="s">
        <v>2</v>
      </c>
      <c r="D99" s="210" t="s">
        <v>1</v>
      </c>
      <c r="E99" s="211" t="s">
        <v>3</v>
      </c>
      <c r="F99" s="212" t="s">
        <v>31</v>
      </c>
    </row>
    <row r="100" spans="1:6" ht="15" x14ac:dyDescent="0.25">
      <c r="A100" s="428" t="s">
        <v>32</v>
      </c>
      <c r="B100" s="543" t="s">
        <v>517</v>
      </c>
      <c r="C100" s="544">
        <v>0.02</v>
      </c>
      <c r="D100" s="430" t="s">
        <v>6</v>
      </c>
      <c r="E100" s="544">
        <f>E91</f>
        <v>5899.43</v>
      </c>
      <c r="F100" s="545">
        <f>SUM(C100*E100)</f>
        <v>117.98860000000001</v>
      </c>
    </row>
    <row r="101" spans="1:6" ht="15" x14ac:dyDescent="0.25">
      <c r="A101" s="428" t="s">
        <v>35</v>
      </c>
      <c r="B101" s="429" t="s">
        <v>529</v>
      </c>
      <c r="C101" s="544">
        <v>0.03</v>
      </c>
      <c r="D101" s="430" t="s">
        <v>286</v>
      </c>
      <c r="E101" s="544">
        <v>110</v>
      </c>
      <c r="F101" s="545">
        <f>SUM(C101*E101)</f>
        <v>3.3</v>
      </c>
    </row>
    <row r="102" spans="1:6" ht="15" x14ac:dyDescent="0.25">
      <c r="A102" s="428" t="s">
        <v>38</v>
      </c>
      <c r="B102" s="543" t="s">
        <v>520</v>
      </c>
      <c r="C102" s="544">
        <v>1</v>
      </c>
      <c r="D102" s="430" t="s">
        <v>5</v>
      </c>
      <c r="E102" s="544">
        <v>65</v>
      </c>
      <c r="F102" s="545">
        <f>SUM(C102*E102)</f>
        <v>65</v>
      </c>
    </row>
    <row r="103" spans="1:6" ht="15" x14ac:dyDescent="0.25">
      <c r="A103" s="428" t="s">
        <v>39</v>
      </c>
      <c r="B103" s="543" t="s">
        <v>7</v>
      </c>
      <c r="C103" s="544">
        <v>1</v>
      </c>
      <c r="D103" s="430" t="s">
        <v>5</v>
      </c>
      <c r="E103" s="544">
        <v>130</v>
      </c>
      <c r="F103" s="545">
        <f>SUM(C103*E103)</f>
        <v>130</v>
      </c>
    </row>
    <row r="104" spans="1:6" ht="15.6" thickBot="1" x14ac:dyDescent="0.3">
      <c r="A104" s="431"/>
      <c r="B104" s="550"/>
      <c r="C104" s="551"/>
      <c r="D104" s="435"/>
      <c r="E104" s="551"/>
      <c r="F104" s="552"/>
    </row>
    <row r="105" spans="1:6" ht="16.8" thickTop="1" thickBot="1" x14ac:dyDescent="0.35">
      <c r="A105" s="213"/>
      <c r="B105" s="214" t="s">
        <v>100</v>
      </c>
      <c r="C105" s="553"/>
      <c r="D105" s="216"/>
      <c r="E105" s="215"/>
      <c r="F105" s="554">
        <f>SUM(F100:F104)</f>
        <v>316.28859999999997</v>
      </c>
    </row>
    <row r="106" spans="1:6" ht="13.8" thickTop="1" x14ac:dyDescent="0.25"/>
    <row r="107" spans="1:6" ht="16.2" thickBot="1" x14ac:dyDescent="0.3">
      <c r="A107" s="127">
        <v>30</v>
      </c>
      <c r="B107" s="128" t="s">
        <v>544</v>
      </c>
      <c r="C107" s="129"/>
      <c r="D107" s="130"/>
      <c r="E107" s="131"/>
      <c r="F107" s="132"/>
    </row>
    <row r="108" spans="1:6" ht="16.2" thickTop="1" x14ac:dyDescent="0.3">
      <c r="A108" s="372" t="s">
        <v>29</v>
      </c>
      <c r="B108" s="9" t="s">
        <v>30</v>
      </c>
      <c r="C108" s="10" t="s">
        <v>2</v>
      </c>
      <c r="D108" s="11" t="s">
        <v>1</v>
      </c>
      <c r="E108" s="12" t="s">
        <v>3</v>
      </c>
      <c r="F108" s="13" t="s">
        <v>31</v>
      </c>
    </row>
    <row r="109" spans="1:6" ht="15" x14ac:dyDescent="0.25">
      <c r="A109" s="517" t="s">
        <v>32</v>
      </c>
      <c r="B109" s="15" t="s">
        <v>517</v>
      </c>
      <c r="C109" s="16">
        <v>0.02</v>
      </c>
      <c r="D109" s="17" t="s">
        <v>6</v>
      </c>
      <c r="E109" s="18">
        <f>E100</f>
        <v>5899.43</v>
      </c>
      <c r="F109" s="19">
        <f>ROUND(E109*C109,2)</f>
        <v>117.99</v>
      </c>
    </row>
    <row r="110" spans="1:6" ht="15" x14ac:dyDescent="0.25">
      <c r="A110" s="517" t="s">
        <v>35</v>
      </c>
      <c r="B110" s="15" t="s">
        <v>86</v>
      </c>
      <c r="C110" s="16">
        <v>0.05</v>
      </c>
      <c r="D110" s="17" t="s">
        <v>508</v>
      </c>
      <c r="E110" s="18">
        <f>E62</f>
        <v>244.42</v>
      </c>
      <c r="F110" s="19">
        <f>ROUND(E110*C110,2)</f>
        <v>12.22</v>
      </c>
    </row>
    <row r="111" spans="1:6" ht="15" x14ac:dyDescent="0.25">
      <c r="A111" s="517" t="s">
        <v>38</v>
      </c>
      <c r="B111" s="15" t="s">
        <v>518</v>
      </c>
      <c r="C111" s="16">
        <v>0.03</v>
      </c>
      <c r="D111" s="17" t="s">
        <v>519</v>
      </c>
      <c r="E111" s="18">
        <v>110</v>
      </c>
      <c r="F111" s="19">
        <f>ROUND(E111*C111,2)</f>
        <v>3.3</v>
      </c>
    </row>
    <row r="112" spans="1:6" ht="15" x14ac:dyDescent="0.25">
      <c r="A112" s="517" t="s">
        <v>39</v>
      </c>
      <c r="B112" s="15" t="s">
        <v>520</v>
      </c>
      <c r="C112" s="16">
        <v>1</v>
      </c>
      <c r="D112" s="17" t="s">
        <v>521</v>
      </c>
      <c r="E112" s="18">
        <v>75</v>
      </c>
      <c r="F112" s="19">
        <f>ROUND(E112*C112,2)</f>
        <v>75</v>
      </c>
    </row>
    <row r="113" spans="1:6" ht="15" x14ac:dyDescent="0.25">
      <c r="A113" s="581" t="s">
        <v>41</v>
      </c>
      <c r="B113" s="133" t="s">
        <v>522</v>
      </c>
      <c r="C113" s="16">
        <v>1</v>
      </c>
      <c r="D113" s="17" t="s">
        <v>521</v>
      </c>
      <c r="E113" s="18">
        <v>130</v>
      </c>
      <c r="F113" s="19">
        <f>ROUND(E113*C113,2)</f>
        <v>130</v>
      </c>
    </row>
    <row r="114" spans="1:6" ht="15.6" thickBot="1" x14ac:dyDescent="0.3">
      <c r="A114" s="582"/>
      <c r="B114" s="87"/>
      <c r="C114" s="126"/>
      <c r="D114" s="30"/>
      <c r="E114" s="88"/>
      <c r="F114" s="31"/>
    </row>
    <row r="115" spans="1:6" ht="16.8" thickTop="1" thickBot="1" x14ac:dyDescent="0.35">
      <c r="A115" s="387"/>
      <c r="B115" s="33" t="s">
        <v>100</v>
      </c>
      <c r="C115" s="34"/>
      <c r="D115" s="35"/>
      <c r="E115" s="36"/>
      <c r="F115" s="37">
        <f>SUM(F109:F114)</f>
        <v>338.51</v>
      </c>
    </row>
    <row r="116" spans="1:6" ht="13.8" thickTop="1" x14ac:dyDescent="0.25"/>
    <row r="117" spans="1:6" ht="16.2" thickBot="1" x14ac:dyDescent="0.35">
      <c r="A117" s="570">
        <v>34</v>
      </c>
      <c r="B117" s="368" t="s">
        <v>574</v>
      </c>
      <c r="C117" s="571"/>
      <c r="D117" s="572"/>
      <c r="E117" s="573"/>
      <c r="F117" s="574"/>
    </row>
    <row r="118" spans="1:6" ht="16.2" thickTop="1" x14ac:dyDescent="0.3">
      <c r="A118" s="100" t="s">
        <v>29</v>
      </c>
      <c r="B118" s="101" t="s">
        <v>30</v>
      </c>
      <c r="C118" s="102" t="s">
        <v>2</v>
      </c>
      <c r="D118" s="103" t="s">
        <v>1</v>
      </c>
      <c r="E118" s="104" t="s">
        <v>3</v>
      </c>
      <c r="F118" s="105" t="s">
        <v>31</v>
      </c>
    </row>
    <row r="119" spans="1:6" ht="15" x14ac:dyDescent="0.25">
      <c r="A119" s="517" t="s">
        <v>32</v>
      </c>
      <c r="B119" s="15" t="s">
        <v>84</v>
      </c>
      <c r="C119" s="16">
        <v>5.0000000000000001E-3</v>
      </c>
      <c r="D119" s="17" t="s">
        <v>533</v>
      </c>
      <c r="E119" s="18">
        <f>E82</f>
        <v>4789.0290000000005</v>
      </c>
      <c r="F119" s="19">
        <f>ROUND(E119*C119,2)</f>
        <v>23.95</v>
      </c>
    </row>
    <row r="120" spans="1:6" ht="15" x14ac:dyDescent="0.25">
      <c r="A120" s="517" t="s">
        <v>35</v>
      </c>
      <c r="B120" s="15" t="s">
        <v>541</v>
      </c>
      <c r="C120" s="16">
        <v>1</v>
      </c>
      <c r="D120" s="17" t="s">
        <v>526</v>
      </c>
      <c r="E120" s="18">
        <v>20</v>
      </c>
      <c r="F120" s="19">
        <f>ROUND(E120*C120,2)</f>
        <v>20</v>
      </c>
    </row>
    <row r="121" spans="1:6" ht="15" x14ac:dyDescent="0.25">
      <c r="A121" s="517" t="s">
        <v>39</v>
      </c>
      <c r="B121" s="15" t="s">
        <v>7</v>
      </c>
      <c r="C121" s="16">
        <v>1</v>
      </c>
      <c r="D121" s="17" t="s">
        <v>526</v>
      </c>
      <c r="E121" s="18">
        <v>45</v>
      </c>
      <c r="F121" s="19">
        <f>ROUND(E121*C121,2)</f>
        <v>45</v>
      </c>
    </row>
    <row r="122" spans="1:6" ht="16.2" thickBot="1" x14ac:dyDescent="0.35">
      <c r="A122" s="575"/>
      <c r="B122" s="576"/>
      <c r="C122" s="577"/>
      <c r="D122" s="578"/>
      <c r="E122" s="579"/>
      <c r="F122" s="580"/>
    </row>
    <row r="123" spans="1:6" ht="16.8" thickTop="1" thickBot="1" x14ac:dyDescent="0.35">
      <c r="A123" s="32"/>
      <c r="B123" s="33" t="s">
        <v>527</v>
      </c>
      <c r="C123" s="533"/>
      <c r="D123" s="35"/>
      <c r="E123" s="36"/>
      <c r="F123" s="534">
        <f>SUM(F119:F122)</f>
        <v>88.95</v>
      </c>
    </row>
    <row r="124" spans="1:6" ht="13.8" thickTop="1" x14ac:dyDescent="0.25"/>
    <row r="125" spans="1:6" ht="16.2" thickBot="1" x14ac:dyDescent="0.35">
      <c r="A125" s="899" t="s">
        <v>652</v>
      </c>
      <c r="B125" s="899"/>
      <c r="C125" s="899"/>
      <c r="D125" s="899"/>
      <c r="E125" s="899"/>
      <c r="F125" s="899"/>
    </row>
    <row r="126" spans="1:6" ht="16.2" thickTop="1" x14ac:dyDescent="0.3">
      <c r="A126" s="100"/>
      <c r="B126" s="101"/>
      <c r="C126" s="102" t="s">
        <v>135</v>
      </c>
      <c r="D126" s="103" t="s">
        <v>136</v>
      </c>
      <c r="E126" s="104" t="s">
        <v>227</v>
      </c>
      <c r="F126" s="105" t="s">
        <v>138</v>
      </c>
    </row>
    <row r="127" spans="1:6" ht="15" x14ac:dyDescent="0.25">
      <c r="A127" s="517"/>
      <c r="B127" s="15" t="s">
        <v>643</v>
      </c>
      <c r="C127" s="16">
        <v>1.22</v>
      </c>
      <c r="D127" s="17" t="s">
        <v>644</v>
      </c>
      <c r="E127" s="18">
        <v>450</v>
      </c>
      <c r="F127" s="19">
        <f>E127*C127</f>
        <v>549</v>
      </c>
    </row>
    <row r="128" spans="1:6" ht="15" x14ac:dyDescent="0.25">
      <c r="A128" s="517"/>
      <c r="B128" s="15" t="s">
        <v>645</v>
      </c>
      <c r="C128" s="16">
        <v>3.3000000000000002E-2</v>
      </c>
      <c r="D128" s="17" t="s">
        <v>646</v>
      </c>
      <c r="E128" s="18">
        <v>750</v>
      </c>
      <c r="F128" s="19">
        <f>E128*C128</f>
        <v>24.75</v>
      </c>
    </row>
    <row r="129" spans="1:6" ht="15" x14ac:dyDescent="0.25">
      <c r="A129" s="517"/>
      <c r="B129" s="15" t="s">
        <v>647</v>
      </c>
      <c r="C129" s="16">
        <v>0.05</v>
      </c>
      <c r="D129" s="17" t="s">
        <v>634</v>
      </c>
      <c r="E129" s="18">
        <v>45</v>
      </c>
      <c r="F129" s="19">
        <f>E129*C129</f>
        <v>2.25</v>
      </c>
    </row>
    <row r="130" spans="1:6" ht="15" x14ac:dyDescent="0.25">
      <c r="A130" s="517"/>
      <c r="B130" s="15" t="s">
        <v>648</v>
      </c>
      <c r="C130" s="16">
        <v>0.03</v>
      </c>
      <c r="D130" s="17" t="s">
        <v>6</v>
      </c>
      <c r="E130" s="18">
        <f>Hormigones!F131</f>
        <v>3709</v>
      </c>
      <c r="F130" s="19">
        <f>E130*C130</f>
        <v>111.27</v>
      </c>
    </row>
    <row r="131" spans="1:6" ht="15.6" thickBot="1" x14ac:dyDescent="0.3">
      <c r="A131" s="517"/>
      <c r="B131" s="15" t="s">
        <v>649</v>
      </c>
      <c r="C131" s="16">
        <v>1</v>
      </c>
      <c r="D131" s="17" t="s">
        <v>5</v>
      </c>
      <c r="E131" s="18">
        <v>150</v>
      </c>
      <c r="F131" s="19">
        <f>E131*C131</f>
        <v>150</v>
      </c>
    </row>
    <row r="132" spans="1:6" ht="16.8" thickTop="1" thickBot="1" x14ac:dyDescent="0.35">
      <c r="A132" s="894" t="s">
        <v>146</v>
      </c>
      <c r="B132" s="895"/>
      <c r="C132" s="895"/>
      <c r="D132" s="895"/>
      <c r="E132" s="895"/>
      <c r="F132" s="534">
        <f>SUM(F127:F131)</f>
        <v>837.27</v>
      </c>
    </row>
    <row r="133" spans="1:6" ht="13.8" thickTop="1" x14ac:dyDescent="0.25"/>
  </sheetData>
  <mergeCells count="2">
    <mergeCell ref="A132:E132"/>
    <mergeCell ref="A125:F12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4"/>
  <sheetViews>
    <sheetView view="pageBreakPreview" topLeftCell="A49" zoomScaleNormal="85" zoomScaleSheetLayoutView="100" workbookViewId="0">
      <selection activeCell="C58" sqref="C58"/>
    </sheetView>
  </sheetViews>
  <sheetFormatPr baseColWidth="10" defaultRowHeight="13.2" x14ac:dyDescent="0.25"/>
  <cols>
    <col min="1" max="1" width="5.44140625" style="221" bestFit="1" customWidth="1"/>
    <col min="2" max="2" width="42.33203125" style="221" bestFit="1" customWidth="1"/>
    <col min="3" max="3" width="11.5546875" style="221" bestFit="1" customWidth="1"/>
    <col min="4" max="4" width="11.44140625" style="221"/>
    <col min="5" max="5" width="13" style="221" bestFit="1" customWidth="1"/>
    <col min="6" max="6" width="14" style="221" bestFit="1" customWidth="1"/>
    <col min="7" max="256" width="11.44140625" style="221"/>
    <col min="257" max="257" width="5.44140625" style="221" bestFit="1" customWidth="1"/>
    <col min="258" max="258" width="42.33203125" style="221" bestFit="1" customWidth="1"/>
    <col min="259" max="259" width="11.5546875" style="221" bestFit="1" customWidth="1"/>
    <col min="260" max="260" width="11.44140625" style="221"/>
    <col min="261" max="261" width="13" style="221" bestFit="1" customWidth="1"/>
    <col min="262" max="262" width="14" style="221" bestFit="1" customWidth="1"/>
    <col min="263" max="512" width="11.44140625" style="221"/>
    <col min="513" max="513" width="5.44140625" style="221" bestFit="1" customWidth="1"/>
    <col min="514" max="514" width="42.33203125" style="221" bestFit="1" customWidth="1"/>
    <col min="515" max="515" width="11.5546875" style="221" bestFit="1" customWidth="1"/>
    <col min="516" max="516" width="11.44140625" style="221"/>
    <col min="517" max="517" width="13" style="221" bestFit="1" customWidth="1"/>
    <col min="518" max="518" width="14" style="221" bestFit="1" customWidth="1"/>
    <col min="519" max="768" width="11.44140625" style="221"/>
    <col min="769" max="769" width="5.44140625" style="221" bestFit="1" customWidth="1"/>
    <col min="770" max="770" width="42.33203125" style="221" bestFit="1" customWidth="1"/>
    <col min="771" max="771" width="11.5546875" style="221" bestFit="1" customWidth="1"/>
    <col min="772" max="772" width="11.44140625" style="221"/>
    <col min="773" max="773" width="13" style="221" bestFit="1" customWidth="1"/>
    <col min="774" max="774" width="14" style="221" bestFit="1" customWidth="1"/>
    <col min="775" max="1024" width="11.44140625" style="221"/>
    <col min="1025" max="1025" width="5.44140625" style="221" bestFit="1" customWidth="1"/>
    <col min="1026" max="1026" width="42.33203125" style="221" bestFit="1" customWidth="1"/>
    <col min="1027" max="1027" width="11.5546875" style="221" bestFit="1" customWidth="1"/>
    <col min="1028" max="1028" width="11.44140625" style="221"/>
    <col min="1029" max="1029" width="13" style="221" bestFit="1" customWidth="1"/>
    <col min="1030" max="1030" width="14" style="221" bestFit="1" customWidth="1"/>
    <col min="1031" max="1280" width="11.44140625" style="221"/>
    <col min="1281" max="1281" width="5.44140625" style="221" bestFit="1" customWidth="1"/>
    <col min="1282" max="1282" width="42.33203125" style="221" bestFit="1" customWidth="1"/>
    <col min="1283" max="1283" width="11.5546875" style="221" bestFit="1" customWidth="1"/>
    <col min="1284" max="1284" width="11.44140625" style="221"/>
    <col min="1285" max="1285" width="13" style="221" bestFit="1" customWidth="1"/>
    <col min="1286" max="1286" width="14" style="221" bestFit="1" customWidth="1"/>
    <col min="1287" max="1536" width="11.44140625" style="221"/>
    <col min="1537" max="1537" width="5.44140625" style="221" bestFit="1" customWidth="1"/>
    <col min="1538" max="1538" width="42.33203125" style="221" bestFit="1" customWidth="1"/>
    <col min="1539" max="1539" width="11.5546875" style="221" bestFit="1" customWidth="1"/>
    <col min="1540" max="1540" width="11.44140625" style="221"/>
    <col min="1541" max="1541" width="13" style="221" bestFit="1" customWidth="1"/>
    <col min="1542" max="1542" width="14" style="221" bestFit="1" customWidth="1"/>
    <col min="1543" max="1792" width="11.44140625" style="221"/>
    <col min="1793" max="1793" width="5.44140625" style="221" bestFit="1" customWidth="1"/>
    <col min="1794" max="1794" width="42.33203125" style="221" bestFit="1" customWidth="1"/>
    <col min="1795" max="1795" width="11.5546875" style="221" bestFit="1" customWidth="1"/>
    <col min="1796" max="1796" width="11.44140625" style="221"/>
    <col min="1797" max="1797" width="13" style="221" bestFit="1" customWidth="1"/>
    <col min="1798" max="1798" width="14" style="221" bestFit="1" customWidth="1"/>
    <col min="1799" max="2048" width="11.44140625" style="221"/>
    <col min="2049" max="2049" width="5.44140625" style="221" bestFit="1" customWidth="1"/>
    <col min="2050" max="2050" width="42.33203125" style="221" bestFit="1" customWidth="1"/>
    <col min="2051" max="2051" width="11.5546875" style="221" bestFit="1" customWidth="1"/>
    <col min="2052" max="2052" width="11.44140625" style="221"/>
    <col min="2053" max="2053" width="13" style="221" bestFit="1" customWidth="1"/>
    <col min="2054" max="2054" width="14" style="221" bestFit="1" customWidth="1"/>
    <col min="2055" max="2304" width="11.44140625" style="221"/>
    <col min="2305" max="2305" width="5.44140625" style="221" bestFit="1" customWidth="1"/>
    <col min="2306" max="2306" width="42.33203125" style="221" bestFit="1" customWidth="1"/>
    <col min="2307" max="2307" width="11.5546875" style="221" bestFit="1" customWidth="1"/>
    <col min="2308" max="2308" width="11.44140625" style="221"/>
    <col min="2309" max="2309" width="13" style="221" bestFit="1" customWidth="1"/>
    <col min="2310" max="2310" width="14" style="221" bestFit="1" customWidth="1"/>
    <col min="2311" max="2560" width="11.44140625" style="221"/>
    <col min="2561" max="2561" width="5.44140625" style="221" bestFit="1" customWidth="1"/>
    <col min="2562" max="2562" width="42.33203125" style="221" bestFit="1" customWidth="1"/>
    <col min="2563" max="2563" width="11.5546875" style="221" bestFit="1" customWidth="1"/>
    <col min="2564" max="2564" width="11.44140625" style="221"/>
    <col min="2565" max="2565" width="13" style="221" bestFit="1" customWidth="1"/>
    <col min="2566" max="2566" width="14" style="221" bestFit="1" customWidth="1"/>
    <col min="2567" max="2816" width="11.44140625" style="221"/>
    <col min="2817" max="2817" width="5.44140625" style="221" bestFit="1" customWidth="1"/>
    <col min="2818" max="2818" width="42.33203125" style="221" bestFit="1" customWidth="1"/>
    <col min="2819" max="2819" width="11.5546875" style="221" bestFit="1" customWidth="1"/>
    <col min="2820" max="2820" width="11.44140625" style="221"/>
    <col min="2821" max="2821" width="13" style="221" bestFit="1" customWidth="1"/>
    <col min="2822" max="2822" width="14" style="221" bestFit="1" customWidth="1"/>
    <col min="2823" max="3072" width="11.44140625" style="221"/>
    <col min="3073" max="3073" width="5.44140625" style="221" bestFit="1" customWidth="1"/>
    <col min="3074" max="3074" width="42.33203125" style="221" bestFit="1" customWidth="1"/>
    <col min="3075" max="3075" width="11.5546875" style="221" bestFit="1" customWidth="1"/>
    <col min="3076" max="3076" width="11.44140625" style="221"/>
    <col min="3077" max="3077" width="13" style="221" bestFit="1" customWidth="1"/>
    <col min="3078" max="3078" width="14" style="221" bestFit="1" customWidth="1"/>
    <col min="3079" max="3328" width="11.44140625" style="221"/>
    <col min="3329" max="3329" width="5.44140625" style="221" bestFit="1" customWidth="1"/>
    <col min="3330" max="3330" width="42.33203125" style="221" bestFit="1" customWidth="1"/>
    <col min="3331" max="3331" width="11.5546875" style="221" bestFit="1" customWidth="1"/>
    <col min="3332" max="3332" width="11.44140625" style="221"/>
    <col min="3333" max="3333" width="13" style="221" bestFit="1" customWidth="1"/>
    <col min="3334" max="3334" width="14" style="221" bestFit="1" customWidth="1"/>
    <col min="3335" max="3584" width="11.44140625" style="221"/>
    <col min="3585" max="3585" width="5.44140625" style="221" bestFit="1" customWidth="1"/>
    <col min="3586" max="3586" width="42.33203125" style="221" bestFit="1" customWidth="1"/>
    <col min="3587" max="3587" width="11.5546875" style="221" bestFit="1" customWidth="1"/>
    <col min="3588" max="3588" width="11.44140625" style="221"/>
    <col min="3589" max="3589" width="13" style="221" bestFit="1" customWidth="1"/>
    <col min="3590" max="3590" width="14" style="221" bestFit="1" customWidth="1"/>
    <col min="3591" max="3840" width="11.44140625" style="221"/>
    <col min="3841" max="3841" width="5.44140625" style="221" bestFit="1" customWidth="1"/>
    <col min="3842" max="3842" width="42.33203125" style="221" bestFit="1" customWidth="1"/>
    <col min="3843" max="3843" width="11.5546875" style="221" bestFit="1" customWidth="1"/>
    <col min="3844" max="3844" width="11.44140625" style="221"/>
    <col min="3845" max="3845" width="13" style="221" bestFit="1" customWidth="1"/>
    <col min="3846" max="3846" width="14" style="221" bestFit="1" customWidth="1"/>
    <col min="3847" max="4096" width="11.44140625" style="221"/>
    <col min="4097" max="4097" width="5.44140625" style="221" bestFit="1" customWidth="1"/>
    <col min="4098" max="4098" width="42.33203125" style="221" bestFit="1" customWidth="1"/>
    <col min="4099" max="4099" width="11.5546875" style="221" bestFit="1" customWidth="1"/>
    <col min="4100" max="4100" width="11.44140625" style="221"/>
    <col min="4101" max="4101" width="13" style="221" bestFit="1" customWidth="1"/>
    <col min="4102" max="4102" width="14" style="221" bestFit="1" customWidth="1"/>
    <col min="4103" max="4352" width="11.44140625" style="221"/>
    <col min="4353" max="4353" width="5.44140625" style="221" bestFit="1" customWidth="1"/>
    <col min="4354" max="4354" width="42.33203125" style="221" bestFit="1" customWidth="1"/>
    <col min="4355" max="4355" width="11.5546875" style="221" bestFit="1" customWidth="1"/>
    <col min="4356" max="4356" width="11.44140625" style="221"/>
    <col min="4357" max="4357" width="13" style="221" bestFit="1" customWidth="1"/>
    <col min="4358" max="4358" width="14" style="221" bestFit="1" customWidth="1"/>
    <col min="4359" max="4608" width="11.44140625" style="221"/>
    <col min="4609" max="4609" width="5.44140625" style="221" bestFit="1" customWidth="1"/>
    <col min="4610" max="4610" width="42.33203125" style="221" bestFit="1" customWidth="1"/>
    <col min="4611" max="4611" width="11.5546875" style="221" bestFit="1" customWidth="1"/>
    <col min="4612" max="4612" width="11.44140625" style="221"/>
    <col min="4613" max="4613" width="13" style="221" bestFit="1" customWidth="1"/>
    <col min="4614" max="4614" width="14" style="221" bestFit="1" customWidth="1"/>
    <col min="4615" max="4864" width="11.44140625" style="221"/>
    <col min="4865" max="4865" width="5.44140625" style="221" bestFit="1" customWidth="1"/>
    <col min="4866" max="4866" width="42.33203125" style="221" bestFit="1" customWidth="1"/>
    <col min="4867" max="4867" width="11.5546875" style="221" bestFit="1" customWidth="1"/>
    <col min="4868" max="4868" width="11.44140625" style="221"/>
    <col min="4869" max="4869" width="13" style="221" bestFit="1" customWidth="1"/>
    <col min="4870" max="4870" width="14" style="221" bestFit="1" customWidth="1"/>
    <col min="4871" max="5120" width="11.44140625" style="221"/>
    <col min="5121" max="5121" width="5.44140625" style="221" bestFit="1" customWidth="1"/>
    <col min="5122" max="5122" width="42.33203125" style="221" bestFit="1" customWidth="1"/>
    <col min="5123" max="5123" width="11.5546875" style="221" bestFit="1" customWidth="1"/>
    <col min="5124" max="5124" width="11.44140625" style="221"/>
    <col min="5125" max="5125" width="13" style="221" bestFit="1" customWidth="1"/>
    <col min="5126" max="5126" width="14" style="221" bestFit="1" customWidth="1"/>
    <col min="5127" max="5376" width="11.44140625" style="221"/>
    <col min="5377" max="5377" width="5.44140625" style="221" bestFit="1" customWidth="1"/>
    <col min="5378" max="5378" width="42.33203125" style="221" bestFit="1" customWidth="1"/>
    <col min="5379" max="5379" width="11.5546875" style="221" bestFit="1" customWidth="1"/>
    <col min="5380" max="5380" width="11.44140625" style="221"/>
    <col min="5381" max="5381" width="13" style="221" bestFit="1" customWidth="1"/>
    <col min="5382" max="5382" width="14" style="221" bestFit="1" customWidth="1"/>
    <col min="5383" max="5632" width="11.44140625" style="221"/>
    <col min="5633" max="5633" width="5.44140625" style="221" bestFit="1" customWidth="1"/>
    <col min="5634" max="5634" width="42.33203125" style="221" bestFit="1" customWidth="1"/>
    <col min="5635" max="5635" width="11.5546875" style="221" bestFit="1" customWidth="1"/>
    <col min="5636" max="5636" width="11.44140625" style="221"/>
    <col min="5637" max="5637" width="13" style="221" bestFit="1" customWidth="1"/>
    <col min="5638" max="5638" width="14" style="221" bestFit="1" customWidth="1"/>
    <col min="5639" max="5888" width="11.44140625" style="221"/>
    <col min="5889" max="5889" width="5.44140625" style="221" bestFit="1" customWidth="1"/>
    <col min="5890" max="5890" width="42.33203125" style="221" bestFit="1" customWidth="1"/>
    <col min="5891" max="5891" width="11.5546875" style="221" bestFit="1" customWidth="1"/>
    <col min="5892" max="5892" width="11.44140625" style="221"/>
    <col min="5893" max="5893" width="13" style="221" bestFit="1" customWidth="1"/>
    <col min="5894" max="5894" width="14" style="221" bestFit="1" customWidth="1"/>
    <col min="5895" max="6144" width="11.44140625" style="221"/>
    <col min="6145" max="6145" width="5.44140625" style="221" bestFit="1" customWidth="1"/>
    <col min="6146" max="6146" width="42.33203125" style="221" bestFit="1" customWidth="1"/>
    <col min="6147" max="6147" width="11.5546875" style="221" bestFit="1" customWidth="1"/>
    <col min="6148" max="6148" width="11.44140625" style="221"/>
    <col min="6149" max="6149" width="13" style="221" bestFit="1" customWidth="1"/>
    <col min="6150" max="6150" width="14" style="221" bestFit="1" customWidth="1"/>
    <col min="6151" max="6400" width="11.44140625" style="221"/>
    <col min="6401" max="6401" width="5.44140625" style="221" bestFit="1" customWidth="1"/>
    <col min="6402" max="6402" width="42.33203125" style="221" bestFit="1" customWidth="1"/>
    <col min="6403" max="6403" width="11.5546875" style="221" bestFit="1" customWidth="1"/>
    <col min="6404" max="6404" width="11.44140625" style="221"/>
    <col min="6405" max="6405" width="13" style="221" bestFit="1" customWidth="1"/>
    <col min="6406" max="6406" width="14" style="221" bestFit="1" customWidth="1"/>
    <col min="6407" max="6656" width="11.44140625" style="221"/>
    <col min="6657" max="6657" width="5.44140625" style="221" bestFit="1" customWidth="1"/>
    <col min="6658" max="6658" width="42.33203125" style="221" bestFit="1" customWidth="1"/>
    <col min="6659" max="6659" width="11.5546875" style="221" bestFit="1" customWidth="1"/>
    <col min="6660" max="6660" width="11.44140625" style="221"/>
    <col min="6661" max="6661" width="13" style="221" bestFit="1" customWidth="1"/>
    <col min="6662" max="6662" width="14" style="221" bestFit="1" customWidth="1"/>
    <col min="6663" max="6912" width="11.44140625" style="221"/>
    <col min="6913" max="6913" width="5.44140625" style="221" bestFit="1" customWidth="1"/>
    <col min="6914" max="6914" width="42.33203125" style="221" bestFit="1" customWidth="1"/>
    <col min="6915" max="6915" width="11.5546875" style="221" bestFit="1" customWidth="1"/>
    <col min="6916" max="6916" width="11.44140625" style="221"/>
    <col min="6917" max="6917" width="13" style="221" bestFit="1" customWidth="1"/>
    <col min="6918" max="6918" width="14" style="221" bestFit="1" customWidth="1"/>
    <col min="6919" max="7168" width="11.44140625" style="221"/>
    <col min="7169" max="7169" width="5.44140625" style="221" bestFit="1" customWidth="1"/>
    <col min="7170" max="7170" width="42.33203125" style="221" bestFit="1" customWidth="1"/>
    <col min="7171" max="7171" width="11.5546875" style="221" bestFit="1" customWidth="1"/>
    <col min="7172" max="7172" width="11.44140625" style="221"/>
    <col min="7173" max="7173" width="13" style="221" bestFit="1" customWidth="1"/>
    <col min="7174" max="7174" width="14" style="221" bestFit="1" customWidth="1"/>
    <col min="7175" max="7424" width="11.44140625" style="221"/>
    <col min="7425" max="7425" width="5.44140625" style="221" bestFit="1" customWidth="1"/>
    <col min="7426" max="7426" width="42.33203125" style="221" bestFit="1" customWidth="1"/>
    <col min="7427" max="7427" width="11.5546875" style="221" bestFit="1" customWidth="1"/>
    <col min="7428" max="7428" width="11.44140625" style="221"/>
    <col min="7429" max="7429" width="13" style="221" bestFit="1" customWidth="1"/>
    <col min="7430" max="7430" width="14" style="221" bestFit="1" customWidth="1"/>
    <col min="7431" max="7680" width="11.44140625" style="221"/>
    <col min="7681" max="7681" width="5.44140625" style="221" bestFit="1" customWidth="1"/>
    <col min="7682" max="7682" width="42.33203125" style="221" bestFit="1" customWidth="1"/>
    <col min="7683" max="7683" width="11.5546875" style="221" bestFit="1" customWidth="1"/>
    <col min="7684" max="7684" width="11.44140625" style="221"/>
    <col min="7685" max="7685" width="13" style="221" bestFit="1" customWidth="1"/>
    <col min="7686" max="7686" width="14" style="221" bestFit="1" customWidth="1"/>
    <col min="7687" max="7936" width="11.44140625" style="221"/>
    <col min="7937" max="7937" width="5.44140625" style="221" bestFit="1" customWidth="1"/>
    <col min="7938" max="7938" width="42.33203125" style="221" bestFit="1" customWidth="1"/>
    <col min="7939" max="7939" width="11.5546875" style="221" bestFit="1" customWidth="1"/>
    <col min="7940" max="7940" width="11.44140625" style="221"/>
    <col min="7941" max="7941" width="13" style="221" bestFit="1" customWidth="1"/>
    <col min="7942" max="7942" width="14" style="221" bestFit="1" customWidth="1"/>
    <col min="7943" max="8192" width="11.44140625" style="221"/>
    <col min="8193" max="8193" width="5.44140625" style="221" bestFit="1" customWidth="1"/>
    <col min="8194" max="8194" width="42.33203125" style="221" bestFit="1" customWidth="1"/>
    <col min="8195" max="8195" width="11.5546875" style="221" bestFit="1" customWidth="1"/>
    <col min="8196" max="8196" width="11.44140625" style="221"/>
    <col min="8197" max="8197" width="13" style="221" bestFit="1" customWidth="1"/>
    <col min="8198" max="8198" width="14" style="221" bestFit="1" customWidth="1"/>
    <col min="8199" max="8448" width="11.44140625" style="221"/>
    <col min="8449" max="8449" width="5.44140625" style="221" bestFit="1" customWidth="1"/>
    <col min="8450" max="8450" width="42.33203125" style="221" bestFit="1" customWidth="1"/>
    <col min="8451" max="8451" width="11.5546875" style="221" bestFit="1" customWidth="1"/>
    <col min="8452" max="8452" width="11.44140625" style="221"/>
    <col min="8453" max="8453" width="13" style="221" bestFit="1" customWidth="1"/>
    <col min="8454" max="8454" width="14" style="221" bestFit="1" customWidth="1"/>
    <col min="8455" max="8704" width="11.44140625" style="221"/>
    <col min="8705" max="8705" width="5.44140625" style="221" bestFit="1" customWidth="1"/>
    <col min="8706" max="8706" width="42.33203125" style="221" bestFit="1" customWidth="1"/>
    <col min="8707" max="8707" width="11.5546875" style="221" bestFit="1" customWidth="1"/>
    <col min="8708" max="8708" width="11.44140625" style="221"/>
    <col min="8709" max="8709" width="13" style="221" bestFit="1" customWidth="1"/>
    <col min="8710" max="8710" width="14" style="221" bestFit="1" customWidth="1"/>
    <col min="8711" max="8960" width="11.44140625" style="221"/>
    <col min="8961" max="8961" width="5.44140625" style="221" bestFit="1" customWidth="1"/>
    <col min="8962" max="8962" width="42.33203125" style="221" bestFit="1" customWidth="1"/>
    <col min="8963" max="8963" width="11.5546875" style="221" bestFit="1" customWidth="1"/>
    <col min="8964" max="8964" width="11.44140625" style="221"/>
    <col min="8965" max="8965" width="13" style="221" bestFit="1" customWidth="1"/>
    <col min="8966" max="8966" width="14" style="221" bestFit="1" customWidth="1"/>
    <col min="8967" max="9216" width="11.44140625" style="221"/>
    <col min="9217" max="9217" width="5.44140625" style="221" bestFit="1" customWidth="1"/>
    <col min="9218" max="9218" width="42.33203125" style="221" bestFit="1" customWidth="1"/>
    <col min="9219" max="9219" width="11.5546875" style="221" bestFit="1" customWidth="1"/>
    <col min="9220" max="9220" width="11.44140625" style="221"/>
    <col min="9221" max="9221" width="13" style="221" bestFit="1" customWidth="1"/>
    <col min="9222" max="9222" width="14" style="221" bestFit="1" customWidth="1"/>
    <col min="9223" max="9472" width="11.44140625" style="221"/>
    <col min="9473" max="9473" width="5.44140625" style="221" bestFit="1" customWidth="1"/>
    <col min="9474" max="9474" width="42.33203125" style="221" bestFit="1" customWidth="1"/>
    <col min="9475" max="9475" width="11.5546875" style="221" bestFit="1" customWidth="1"/>
    <col min="9476" max="9476" width="11.44140625" style="221"/>
    <col min="9477" max="9477" width="13" style="221" bestFit="1" customWidth="1"/>
    <col min="9478" max="9478" width="14" style="221" bestFit="1" customWidth="1"/>
    <col min="9479" max="9728" width="11.44140625" style="221"/>
    <col min="9729" max="9729" width="5.44140625" style="221" bestFit="1" customWidth="1"/>
    <col min="9730" max="9730" width="42.33203125" style="221" bestFit="1" customWidth="1"/>
    <col min="9731" max="9731" width="11.5546875" style="221" bestFit="1" customWidth="1"/>
    <col min="9732" max="9732" width="11.44140625" style="221"/>
    <col min="9733" max="9733" width="13" style="221" bestFit="1" customWidth="1"/>
    <col min="9734" max="9734" width="14" style="221" bestFit="1" customWidth="1"/>
    <col min="9735" max="9984" width="11.44140625" style="221"/>
    <col min="9985" max="9985" width="5.44140625" style="221" bestFit="1" customWidth="1"/>
    <col min="9986" max="9986" width="42.33203125" style="221" bestFit="1" customWidth="1"/>
    <col min="9987" max="9987" width="11.5546875" style="221" bestFit="1" customWidth="1"/>
    <col min="9988" max="9988" width="11.44140625" style="221"/>
    <col min="9989" max="9989" width="13" style="221" bestFit="1" customWidth="1"/>
    <col min="9990" max="9990" width="14" style="221" bestFit="1" customWidth="1"/>
    <col min="9991" max="10240" width="11.44140625" style="221"/>
    <col min="10241" max="10241" width="5.44140625" style="221" bestFit="1" customWidth="1"/>
    <col min="10242" max="10242" width="42.33203125" style="221" bestFit="1" customWidth="1"/>
    <col min="10243" max="10243" width="11.5546875" style="221" bestFit="1" customWidth="1"/>
    <col min="10244" max="10244" width="11.44140625" style="221"/>
    <col min="10245" max="10245" width="13" style="221" bestFit="1" customWidth="1"/>
    <col min="10246" max="10246" width="14" style="221" bestFit="1" customWidth="1"/>
    <col min="10247" max="10496" width="11.44140625" style="221"/>
    <col min="10497" max="10497" width="5.44140625" style="221" bestFit="1" customWidth="1"/>
    <col min="10498" max="10498" width="42.33203125" style="221" bestFit="1" customWidth="1"/>
    <col min="10499" max="10499" width="11.5546875" style="221" bestFit="1" customWidth="1"/>
    <col min="10500" max="10500" width="11.44140625" style="221"/>
    <col min="10501" max="10501" width="13" style="221" bestFit="1" customWidth="1"/>
    <col min="10502" max="10502" width="14" style="221" bestFit="1" customWidth="1"/>
    <col min="10503" max="10752" width="11.44140625" style="221"/>
    <col min="10753" max="10753" width="5.44140625" style="221" bestFit="1" customWidth="1"/>
    <col min="10754" max="10754" width="42.33203125" style="221" bestFit="1" customWidth="1"/>
    <col min="10755" max="10755" width="11.5546875" style="221" bestFit="1" customWidth="1"/>
    <col min="10756" max="10756" width="11.44140625" style="221"/>
    <col min="10757" max="10757" width="13" style="221" bestFit="1" customWidth="1"/>
    <col min="10758" max="10758" width="14" style="221" bestFit="1" customWidth="1"/>
    <col min="10759" max="11008" width="11.44140625" style="221"/>
    <col min="11009" max="11009" width="5.44140625" style="221" bestFit="1" customWidth="1"/>
    <col min="11010" max="11010" width="42.33203125" style="221" bestFit="1" customWidth="1"/>
    <col min="11011" max="11011" width="11.5546875" style="221" bestFit="1" customWidth="1"/>
    <col min="11012" max="11012" width="11.44140625" style="221"/>
    <col min="11013" max="11013" width="13" style="221" bestFit="1" customWidth="1"/>
    <col min="11014" max="11014" width="14" style="221" bestFit="1" customWidth="1"/>
    <col min="11015" max="11264" width="11.44140625" style="221"/>
    <col min="11265" max="11265" width="5.44140625" style="221" bestFit="1" customWidth="1"/>
    <col min="11266" max="11266" width="42.33203125" style="221" bestFit="1" customWidth="1"/>
    <col min="11267" max="11267" width="11.5546875" style="221" bestFit="1" customWidth="1"/>
    <col min="11268" max="11268" width="11.44140625" style="221"/>
    <col min="11269" max="11269" width="13" style="221" bestFit="1" customWidth="1"/>
    <col min="11270" max="11270" width="14" style="221" bestFit="1" customWidth="1"/>
    <col min="11271" max="11520" width="11.44140625" style="221"/>
    <col min="11521" max="11521" width="5.44140625" style="221" bestFit="1" customWidth="1"/>
    <col min="11522" max="11522" width="42.33203125" style="221" bestFit="1" customWidth="1"/>
    <col min="11523" max="11523" width="11.5546875" style="221" bestFit="1" customWidth="1"/>
    <col min="11524" max="11524" width="11.44140625" style="221"/>
    <col min="11525" max="11525" width="13" style="221" bestFit="1" customWidth="1"/>
    <col min="11526" max="11526" width="14" style="221" bestFit="1" customWidth="1"/>
    <col min="11527" max="11776" width="11.44140625" style="221"/>
    <col min="11777" max="11777" width="5.44140625" style="221" bestFit="1" customWidth="1"/>
    <col min="11778" max="11778" width="42.33203125" style="221" bestFit="1" customWidth="1"/>
    <col min="11779" max="11779" width="11.5546875" style="221" bestFit="1" customWidth="1"/>
    <col min="11780" max="11780" width="11.44140625" style="221"/>
    <col min="11781" max="11781" width="13" style="221" bestFit="1" customWidth="1"/>
    <col min="11782" max="11782" width="14" style="221" bestFit="1" customWidth="1"/>
    <col min="11783" max="12032" width="11.44140625" style="221"/>
    <col min="12033" max="12033" width="5.44140625" style="221" bestFit="1" customWidth="1"/>
    <col min="12034" max="12034" width="42.33203125" style="221" bestFit="1" customWidth="1"/>
    <col min="12035" max="12035" width="11.5546875" style="221" bestFit="1" customWidth="1"/>
    <col min="12036" max="12036" width="11.44140625" style="221"/>
    <col min="12037" max="12037" width="13" style="221" bestFit="1" customWidth="1"/>
    <col min="12038" max="12038" width="14" style="221" bestFit="1" customWidth="1"/>
    <col min="12039" max="12288" width="11.44140625" style="221"/>
    <col min="12289" max="12289" width="5.44140625" style="221" bestFit="1" customWidth="1"/>
    <col min="12290" max="12290" width="42.33203125" style="221" bestFit="1" customWidth="1"/>
    <col min="12291" max="12291" width="11.5546875" style="221" bestFit="1" customWidth="1"/>
    <col min="12292" max="12292" width="11.44140625" style="221"/>
    <col min="12293" max="12293" width="13" style="221" bestFit="1" customWidth="1"/>
    <col min="12294" max="12294" width="14" style="221" bestFit="1" customWidth="1"/>
    <col min="12295" max="12544" width="11.44140625" style="221"/>
    <col min="12545" max="12545" width="5.44140625" style="221" bestFit="1" customWidth="1"/>
    <col min="12546" max="12546" width="42.33203125" style="221" bestFit="1" customWidth="1"/>
    <col min="12547" max="12547" width="11.5546875" style="221" bestFit="1" customWidth="1"/>
    <col min="12548" max="12548" width="11.44140625" style="221"/>
    <col min="12549" max="12549" width="13" style="221" bestFit="1" customWidth="1"/>
    <col min="12550" max="12550" width="14" style="221" bestFit="1" customWidth="1"/>
    <col min="12551" max="12800" width="11.44140625" style="221"/>
    <col min="12801" max="12801" width="5.44140625" style="221" bestFit="1" customWidth="1"/>
    <col min="12802" max="12802" width="42.33203125" style="221" bestFit="1" customWidth="1"/>
    <col min="12803" max="12803" width="11.5546875" style="221" bestFit="1" customWidth="1"/>
    <col min="12804" max="12804" width="11.44140625" style="221"/>
    <col min="12805" max="12805" width="13" style="221" bestFit="1" customWidth="1"/>
    <col min="12806" max="12806" width="14" style="221" bestFit="1" customWidth="1"/>
    <col min="12807" max="13056" width="11.44140625" style="221"/>
    <col min="13057" max="13057" width="5.44140625" style="221" bestFit="1" customWidth="1"/>
    <col min="13058" max="13058" width="42.33203125" style="221" bestFit="1" customWidth="1"/>
    <col min="13059" max="13059" width="11.5546875" style="221" bestFit="1" customWidth="1"/>
    <col min="13060" max="13060" width="11.44140625" style="221"/>
    <col min="13061" max="13061" width="13" style="221" bestFit="1" customWidth="1"/>
    <col min="13062" max="13062" width="14" style="221" bestFit="1" customWidth="1"/>
    <col min="13063" max="13312" width="11.44140625" style="221"/>
    <col min="13313" max="13313" width="5.44140625" style="221" bestFit="1" customWidth="1"/>
    <col min="13314" max="13314" width="42.33203125" style="221" bestFit="1" customWidth="1"/>
    <col min="13315" max="13315" width="11.5546875" style="221" bestFit="1" customWidth="1"/>
    <col min="13316" max="13316" width="11.44140625" style="221"/>
    <col min="13317" max="13317" width="13" style="221" bestFit="1" customWidth="1"/>
    <col min="13318" max="13318" width="14" style="221" bestFit="1" customWidth="1"/>
    <col min="13319" max="13568" width="11.44140625" style="221"/>
    <col min="13569" max="13569" width="5.44140625" style="221" bestFit="1" customWidth="1"/>
    <col min="13570" max="13570" width="42.33203125" style="221" bestFit="1" customWidth="1"/>
    <col min="13571" max="13571" width="11.5546875" style="221" bestFit="1" customWidth="1"/>
    <col min="13572" max="13572" width="11.44140625" style="221"/>
    <col min="13573" max="13573" width="13" style="221" bestFit="1" customWidth="1"/>
    <col min="13574" max="13574" width="14" style="221" bestFit="1" customWidth="1"/>
    <col min="13575" max="13824" width="11.44140625" style="221"/>
    <col min="13825" max="13825" width="5.44140625" style="221" bestFit="1" customWidth="1"/>
    <col min="13826" max="13826" width="42.33203125" style="221" bestFit="1" customWidth="1"/>
    <col min="13827" max="13827" width="11.5546875" style="221" bestFit="1" customWidth="1"/>
    <col min="13828" max="13828" width="11.44140625" style="221"/>
    <col min="13829" max="13829" width="13" style="221" bestFit="1" customWidth="1"/>
    <col min="13830" max="13830" width="14" style="221" bestFit="1" customWidth="1"/>
    <col min="13831" max="14080" width="11.44140625" style="221"/>
    <col min="14081" max="14081" width="5.44140625" style="221" bestFit="1" customWidth="1"/>
    <col min="14082" max="14082" width="42.33203125" style="221" bestFit="1" customWidth="1"/>
    <col min="14083" max="14083" width="11.5546875" style="221" bestFit="1" customWidth="1"/>
    <col min="14084" max="14084" width="11.44140625" style="221"/>
    <col min="14085" max="14085" width="13" style="221" bestFit="1" customWidth="1"/>
    <col min="14086" max="14086" width="14" style="221" bestFit="1" customWidth="1"/>
    <col min="14087" max="14336" width="11.44140625" style="221"/>
    <col min="14337" max="14337" width="5.44140625" style="221" bestFit="1" customWidth="1"/>
    <col min="14338" max="14338" width="42.33203125" style="221" bestFit="1" customWidth="1"/>
    <col min="14339" max="14339" width="11.5546875" style="221" bestFit="1" customWidth="1"/>
    <col min="14340" max="14340" width="11.44140625" style="221"/>
    <col min="14341" max="14341" width="13" style="221" bestFit="1" customWidth="1"/>
    <col min="14342" max="14342" width="14" style="221" bestFit="1" customWidth="1"/>
    <col min="14343" max="14592" width="11.44140625" style="221"/>
    <col min="14593" max="14593" width="5.44140625" style="221" bestFit="1" customWidth="1"/>
    <col min="14594" max="14594" width="42.33203125" style="221" bestFit="1" customWidth="1"/>
    <col min="14595" max="14595" width="11.5546875" style="221" bestFit="1" customWidth="1"/>
    <col min="14596" max="14596" width="11.44140625" style="221"/>
    <col min="14597" max="14597" width="13" style="221" bestFit="1" customWidth="1"/>
    <col min="14598" max="14598" width="14" style="221" bestFit="1" customWidth="1"/>
    <col min="14599" max="14848" width="11.44140625" style="221"/>
    <col min="14849" max="14849" width="5.44140625" style="221" bestFit="1" customWidth="1"/>
    <col min="14850" max="14850" width="42.33203125" style="221" bestFit="1" customWidth="1"/>
    <col min="14851" max="14851" width="11.5546875" style="221" bestFit="1" customWidth="1"/>
    <col min="14852" max="14852" width="11.44140625" style="221"/>
    <col min="14853" max="14853" width="13" style="221" bestFit="1" customWidth="1"/>
    <col min="14854" max="14854" width="14" style="221" bestFit="1" customWidth="1"/>
    <col min="14855" max="15104" width="11.44140625" style="221"/>
    <col min="15105" max="15105" width="5.44140625" style="221" bestFit="1" customWidth="1"/>
    <col min="15106" max="15106" width="42.33203125" style="221" bestFit="1" customWidth="1"/>
    <col min="15107" max="15107" width="11.5546875" style="221" bestFit="1" customWidth="1"/>
    <col min="15108" max="15108" width="11.44140625" style="221"/>
    <col min="15109" max="15109" width="13" style="221" bestFit="1" customWidth="1"/>
    <col min="15110" max="15110" width="14" style="221" bestFit="1" customWidth="1"/>
    <col min="15111" max="15360" width="11.44140625" style="221"/>
    <col min="15361" max="15361" width="5.44140625" style="221" bestFit="1" customWidth="1"/>
    <col min="15362" max="15362" width="42.33203125" style="221" bestFit="1" customWidth="1"/>
    <col min="15363" max="15363" width="11.5546875" style="221" bestFit="1" customWidth="1"/>
    <col min="15364" max="15364" width="11.44140625" style="221"/>
    <col min="15365" max="15365" width="13" style="221" bestFit="1" customWidth="1"/>
    <col min="15366" max="15366" width="14" style="221" bestFit="1" customWidth="1"/>
    <col min="15367" max="15616" width="11.44140625" style="221"/>
    <col min="15617" max="15617" width="5.44140625" style="221" bestFit="1" customWidth="1"/>
    <col min="15618" max="15618" width="42.33203125" style="221" bestFit="1" customWidth="1"/>
    <col min="15619" max="15619" width="11.5546875" style="221" bestFit="1" customWidth="1"/>
    <col min="15620" max="15620" width="11.44140625" style="221"/>
    <col min="15621" max="15621" width="13" style="221" bestFit="1" customWidth="1"/>
    <col min="15622" max="15622" width="14" style="221" bestFit="1" customWidth="1"/>
    <col min="15623" max="15872" width="11.44140625" style="221"/>
    <col min="15873" max="15873" width="5.44140625" style="221" bestFit="1" customWidth="1"/>
    <col min="15874" max="15874" width="42.33203125" style="221" bestFit="1" customWidth="1"/>
    <col min="15875" max="15875" width="11.5546875" style="221" bestFit="1" customWidth="1"/>
    <col min="15876" max="15876" width="11.44140625" style="221"/>
    <col min="15877" max="15877" width="13" style="221" bestFit="1" customWidth="1"/>
    <col min="15878" max="15878" width="14" style="221" bestFit="1" customWidth="1"/>
    <col min="15879" max="16128" width="11.44140625" style="221"/>
    <col min="16129" max="16129" width="5.44140625" style="221" bestFit="1" customWidth="1"/>
    <col min="16130" max="16130" width="42.33203125" style="221" bestFit="1" customWidth="1"/>
    <col min="16131" max="16131" width="11.5546875" style="221" bestFit="1" customWidth="1"/>
    <col min="16132" max="16132" width="11.44140625" style="221"/>
    <col min="16133" max="16133" width="13" style="221" bestFit="1" customWidth="1"/>
    <col min="16134" max="16134" width="14" style="221" bestFit="1" customWidth="1"/>
    <col min="16135" max="16384" width="11.44140625" style="221"/>
  </cols>
  <sheetData>
    <row r="2" spans="1:8" ht="16.2" thickBot="1" x14ac:dyDescent="0.3">
      <c r="A2" s="127">
        <v>88</v>
      </c>
      <c r="B2" s="128" t="s">
        <v>575</v>
      </c>
      <c r="C2" s="129"/>
      <c r="D2" s="130"/>
      <c r="E2" s="131"/>
      <c r="F2" s="132"/>
    </row>
    <row r="3" spans="1:8" ht="16.2" thickTop="1" x14ac:dyDescent="0.3">
      <c r="A3" s="8" t="s">
        <v>29</v>
      </c>
      <c r="B3" s="9" t="s">
        <v>30</v>
      </c>
      <c r="C3" s="10" t="s">
        <v>2</v>
      </c>
      <c r="D3" s="11" t="s">
        <v>1</v>
      </c>
      <c r="E3" s="12" t="s">
        <v>3</v>
      </c>
      <c r="F3" s="13" t="s">
        <v>31</v>
      </c>
    </row>
    <row r="4" spans="1:8" ht="15" x14ac:dyDescent="0.25">
      <c r="A4" s="164" t="s">
        <v>32</v>
      </c>
      <c r="B4" s="165" t="s">
        <v>758</v>
      </c>
      <c r="C4" s="166">
        <v>1</v>
      </c>
      <c r="D4" s="17" t="s">
        <v>269</v>
      </c>
      <c r="E4" s="113">
        <v>368.5</v>
      </c>
      <c r="F4" s="125">
        <f>ROUND(C4*E4,2)</f>
        <v>368.5</v>
      </c>
      <c r="H4" s="221">
        <f>1150/6</f>
        <v>191.66666666666666</v>
      </c>
    </row>
    <row r="5" spans="1:8" ht="15" x14ac:dyDescent="0.25">
      <c r="A5" s="164" t="s">
        <v>35</v>
      </c>
      <c r="B5" s="165" t="s">
        <v>545</v>
      </c>
      <c r="C5" s="166">
        <v>1</v>
      </c>
      <c r="D5" s="17" t="s">
        <v>269</v>
      </c>
      <c r="E5" s="113">
        <v>225</v>
      </c>
      <c r="F5" s="125">
        <f>ROUND(C5*E5,2)</f>
        <v>225</v>
      </c>
    </row>
    <row r="6" spans="1:8" ht="15" x14ac:dyDescent="0.25">
      <c r="A6" s="164" t="s">
        <v>38</v>
      </c>
      <c r="B6" s="165" t="s">
        <v>546</v>
      </c>
      <c r="C6" s="166">
        <v>1</v>
      </c>
      <c r="D6" s="17" t="s">
        <v>269</v>
      </c>
      <c r="E6" s="113">
        <v>55</v>
      </c>
      <c r="F6" s="125">
        <f>ROUND(C6*E6,2)</f>
        <v>55</v>
      </c>
      <c r="H6" s="221">
        <f>950/20</f>
        <v>47.5</v>
      </c>
    </row>
    <row r="7" spans="1:8" ht="15" x14ac:dyDescent="0.25">
      <c r="A7" s="164" t="s">
        <v>39</v>
      </c>
      <c r="B7" s="165" t="s">
        <v>547</v>
      </c>
      <c r="C7" s="388">
        <v>1</v>
      </c>
      <c r="D7" s="17" t="s">
        <v>269</v>
      </c>
      <c r="E7" s="113">
        <v>45</v>
      </c>
      <c r="F7" s="125">
        <f>ROUND(C7*E7,2)</f>
        <v>45</v>
      </c>
    </row>
    <row r="8" spans="1:8" ht="15" x14ac:dyDescent="0.25">
      <c r="A8" s="164" t="s">
        <v>41</v>
      </c>
      <c r="B8" s="15" t="s">
        <v>576</v>
      </c>
      <c r="C8" s="166">
        <v>1</v>
      </c>
      <c r="D8" s="17" t="s">
        <v>269</v>
      </c>
      <c r="E8" s="113">
        <v>150</v>
      </c>
      <c r="F8" s="125">
        <f>+E8/C8</f>
        <v>150</v>
      </c>
    </row>
    <row r="9" spans="1:8" ht="16.2" thickBot="1" x14ac:dyDescent="0.35">
      <c r="A9" s="26"/>
      <c r="B9" s="87"/>
      <c r="C9" s="126"/>
      <c r="D9" s="167"/>
      <c r="E9" s="168"/>
      <c r="F9" s="169"/>
    </row>
    <row r="10" spans="1:8" ht="16.8" thickTop="1" thickBot="1" x14ac:dyDescent="0.35">
      <c r="A10" s="32"/>
      <c r="B10" s="33" t="s">
        <v>101</v>
      </c>
      <c r="C10" s="34"/>
      <c r="D10" s="35"/>
      <c r="E10" s="36"/>
      <c r="F10" s="37">
        <f>SUM(F4:F9)</f>
        <v>843.5</v>
      </c>
    </row>
    <row r="11" spans="1:8" ht="13.8" thickTop="1" x14ac:dyDescent="0.25"/>
    <row r="12" spans="1:8" ht="15.6" x14ac:dyDescent="0.25">
      <c r="A12" s="235">
        <v>87</v>
      </c>
      <c r="B12" s="236" t="s">
        <v>548</v>
      </c>
      <c r="C12" s="237"/>
      <c r="D12" s="238"/>
      <c r="E12" s="239"/>
      <c r="F12" s="240"/>
    </row>
    <row r="13" spans="1:8" ht="15.6" x14ac:dyDescent="0.3">
      <c r="A13" s="583" t="s">
        <v>29</v>
      </c>
      <c r="B13" s="584" t="s">
        <v>30</v>
      </c>
      <c r="C13" s="585" t="s">
        <v>2</v>
      </c>
      <c r="D13" s="586" t="s">
        <v>1</v>
      </c>
      <c r="E13" s="587" t="s">
        <v>3</v>
      </c>
      <c r="F13" s="588" t="s">
        <v>31</v>
      </c>
    </row>
    <row r="14" spans="1:8" ht="15" x14ac:dyDescent="0.25">
      <c r="A14" s="55" t="s">
        <v>32</v>
      </c>
      <c r="B14" s="224" t="s">
        <v>549</v>
      </c>
      <c r="C14" s="589">
        <v>1</v>
      </c>
      <c r="D14" s="223" t="s">
        <v>189</v>
      </c>
      <c r="E14" s="590">
        <v>4000</v>
      </c>
      <c r="F14" s="591">
        <f>+E14*C14</f>
        <v>4000</v>
      </c>
    </row>
    <row r="15" spans="1:8" ht="15" x14ac:dyDescent="0.25">
      <c r="A15" s="55"/>
      <c r="B15" s="224" t="s">
        <v>550</v>
      </c>
      <c r="C15" s="589">
        <v>1</v>
      </c>
      <c r="D15" s="223" t="s">
        <v>189</v>
      </c>
      <c r="E15" s="590">
        <v>200</v>
      </c>
      <c r="F15" s="591">
        <f>+E15*C15</f>
        <v>200</v>
      </c>
    </row>
    <row r="16" spans="1:8" ht="15" x14ac:dyDescent="0.25">
      <c r="A16" s="55" t="s">
        <v>35</v>
      </c>
      <c r="B16" s="224" t="s">
        <v>551</v>
      </c>
      <c r="C16" s="589">
        <v>1</v>
      </c>
      <c r="D16" s="223" t="s">
        <v>189</v>
      </c>
      <c r="E16" s="590">
        <v>300</v>
      </c>
      <c r="F16" s="591">
        <f>+E16*C16</f>
        <v>300</v>
      </c>
    </row>
    <row r="17" spans="1:6" ht="16.2" thickBot="1" x14ac:dyDescent="0.35">
      <c r="A17" s="592"/>
      <c r="B17" s="593"/>
      <c r="C17" s="594"/>
      <c r="D17" s="225"/>
      <c r="E17" s="222" t="s">
        <v>552</v>
      </c>
      <c r="F17" s="595"/>
    </row>
    <row r="18" spans="1:6" ht="16.8" thickTop="1" thickBot="1" x14ac:dyDescent="0.35">
      <c r="A18" s="242"/>
      <c r="B18" s="243" t="s">
        <v>553</v>
      </c>
      <c r="C18" s="244"/>
      <c r="D18" s="245"/>
      <c r="E18" s="246"/>
      <c r="F18" s="247">
        <f>SUM(F14:F17)</f>
        <v>4500</v>
      </c>
    </row>
    <row r="19" spans="1:6" ht="13.8" thickTop="1" x14ac:dyDescent="0.25"/>
    <row r="20" spans="1:6" ht="15.6" x14ac:dyDescent="0.25">
      <c r="A20" s="235">
        <v>87</v>
      </c>
      <c r="B20" s="236" t="s">
        <v>554</v>
      </c>
      <c r="C20" s="237"/>
      <c r="D20" s="238"/>
      <c r="E20" s="239"/>
      <c r="F20" s="240"/>
    </row>
    <row r="21" spans="1:6" ht="15.6" x14ac:dyDescent="0.3">
      <c r="A21" s="583" t="s">
        <v>29</v>
      </c>
      <c r="B21" s="584" t="s">
        <v>30</v>
      </c>
      <c r="C21" s="585" t="s">
        <v>2</v>
      </c>
      <c r="D21" s="586" t="s">
        <v>1</v>
      </c>
      <c r="E21" s="587" t="s">
        <v>3</v>
      </c>
      <c r="F21" s="588" t="s">
        <v>31</v>
      </c>
    </row>
    <row r="22" spans="1:6" ht="15" x14ac:dyDescent="0.25">
      <c r="A22" s="55" t="s">
        <v>32</v>
      </c>
      <c r="B22" s="224" t="s">
        <v>549</v>
      </c>
      <c r="C22" s="589">
        <v>1</v>
      </c>
      <c r="D22" s="223" t="s">
        <v>189</v>
      </c>
      <c r="E22" s="590">
        <v>5000</v>
      </c>
      <c r="F22" s="591">
        <f>+E22*C22</f>
        <v>5000</v>
      </c>
    </row>
    <row r="23" spans="1:6" ht="15" x14ac:dyDescent="0.25">
      <c r="A23" s="55"/>
      <c r="B23" s="224" t="s">
        <v>550</v>
      </c>
      <c r="C23" s="589">
        <v>1</v>
      </c>
      <c r="D23" s="223" t="s">
        <v>189</v>
      </c>
      <c r="E23" s="590">
        <v>200</v>
      </c>
      <c r="F23" s="591">
        <f>+E23*C23</f>
        <v>200</v>
      </c>
    </row>
    <row r="24" spans="1:6" ht="15" x14ac:dyDescent="0.25">
      <c r="A24" s="55" t="s">
        <v>35</v>
      </c>
      <c r="B24" s="224" t="s">
        <v>551</v>
      </c>
      <c r="C24" s="589">
        <v>1</v>
      </c>
      <c r="D24" s="223" t="s">
        <v>189</v>
      </c>
      <c r="E24" s="590">
        <v>300</v>
      </c>
      <c r="F24" s="591">
        <f>+E24*C24</f>
        <v>300</v>
      </c>
    </row>
    <row r="25" spans="1:6" ht="16.2" thickBot="1" x14ac:dyDescent="0.35">
      <c r="A25" s="592"/>
      <c r="B25" s="593"/>
      <c r="C25" s="594"/>
      <c r="D25" s="225"/>
      <c r="E25" s="222" t="s">
        <v>552</v>
      </c>
      <c r="F25" s="595"/>
    </row>
    <row r="26" spans="1:6" ht="16.8" thickTop="1" thickBot="1" x14ac:dyDescent="0.35">
      <c r="A26" s="242"/>
      <c r="B26" s="243" t="s">
        <v>553</v>
      </c>
      <c r="C26" s="244"/>
      <c r="D26" s="245"/>
      <c r="E26" s="246"/>
      <c r="F26" s="247">
        <f>SUM(F22:F25)</f>
        <v>5500</v>
      </c>
    </row>
    <row r="27" spans="1:6" ht="13.8" thickTop="1" x14ac:dyDescent="0.25"/>
    <row r="28" spans="1:6" ht="15.6" x14ac:dyDescent="0.25">
      <c r="A28" s="235">
        <v>87</v>
      </c>
      <c r="B28" s="236" t="s">
        <v>555</v>
      </c>
      <c r="C28" s="237"/>
      <c r="D28" s="238"/>
      <c r="E28" s="239"/>
      <c r="F28" s="240"/>
    </row>
    <row r="29" spans="1:6" ht="15.6" x14ac:dyDescent="0.3">
      <c r="A29" s="583" t="s">
        <v>29</v>
      </c>
      <c r="B29" s="584" t="s">
        <v>30</v>
      </c>
      <c r="C29" s="585" t="s">
        <v>2</v>
      </c>
      <c r="D29" s="586" t="s">
        <v>1</v>
      </c>
      <c r="E29" s="587" t="s">
        <v>3</v>
      </c>
      <c r="F29" s="588" t="s">
        <v>31</v>
      </c>
    </row>
    <row r="30" spans="1:6" ht="15" x14ac:dyDescent="0.25">
      <c r="A30" s="55" t="s">
        <v>32</v>
      </c>
      <c r="B30" s="224" t="s">
        <v>549</v>
      </c>
      <c r="C30" s="589">
        <v>1</v>
      </c>
      <c r="D30" s="223" t="s">
        <v>189</v>
      </c>
      <c r="E30" s="590">
        <v>6300</v>
      </c>
      <c r="F30" s="591">
        <f>+E30*C30</f>
        <v>6300</v>
      </c>
    </row>
    <row r="31" spans="1:6" ht="15" x14ac:dyDescent="0.25">
      <c r="A31" s="55"/>
      <c r="B31" s="224" t="s">
        <v>550</v>
      </c>
      <c r="C31" s="589">
        <v>1</v>
      </c>
      <c r="D31" s="223" t="s">
        <v>189</v>
      </c>
      <c r="E31" s="590">
        <v>200</v>
      </c>
      <c r="F31" s="591">
        <f>+E31*C31</f>
        <v>200</v>
      </c>
    </row>
    <row r="32" spans="1:6" ht="15" x14ac:dyDescent="0.25">
      <c r="A32" s="55" t="s">
        <v>35</v>
      </c>
      <c r="B32" s="224" t="s">
        <v>551</v>
      </c>
      <c r="C32" s="589">
        <v>1</v>
      </c>
      <c r="D32" s="223" t="s">
        <v>189</v>
      </c>
      <c r="E32" s="590">
        <v>300</v>
      </c>
      <c r="F32" s="591">
        <f>+E32*C32</f>
        <v>300</v>
      </c>
    </row>
    <row r="33" spans="1:6" ht="16.2" thickBot="1" x14ac:dyDescent="0.35">
      <c r="A33" s="592"/>
      <c r="B33" s="593"/>
      <c r="C33" s="594"/>
      <c r="D33" s="225"/>
      <c r="E33" s="222" t="s">
        <v>552</v>
      </c>
      <c r="F33" s="595"/>
    </row>
    <row r="34" spans="1:6" ht="16.8" thickTop="1" thickBot="1" x14ac:dyDescent="0.35">
      <c r="A34" s="242"/>
      <c r="B34" s="243" t="s">
        <v>553</v>
      </c>
      <c r="C34" s="244"/>
      <c r="D34" s="245"/>
      <c r="E34" s="246"/>
      <c r="F34" s="247">
        <f>SUM(F30:F33)</f>
        <v>6800</v>
      </c>
    </row>
    <row r="35" spans="1:6" ht="13.8" thickTop="1" x14ac:dyDescent="0.25"/>
    <row r="36" spans="1:6" ht="16.2" thickBot="1" x14ac:dyDescent="0.35">
      <c r="A36" s="570">
        <v>36</v>
      </c>
      <c r="B36" s="368" t="s">
        <v>556</v>
      </c>
      <c r="C36" s="571"/>
      <c r="D36" s="572"/>
      <c r="E36" s="573"/>
      <c r="F36" s="574"/>
    </row>
    <row r="37" spans="1:6" ht="16.2" thickTop="1" x14ac:dyDescent="0.3">
      <c r="A37" s="100" t="s">
        <v>29</v>
      </c>
      <c r="B37" s="101" t="s">
        <v>30</v>
      </c>
      <c r="C37" s="102" t="s">
        <v>2</v>
      </c>
      <c r="D37" s="103" t="s">
        <v>1</v>
      </c>
      <c r="E37" s="104" t="s">
        <v>3</v>
      </c>
      <c r="F37" s="105" t="s">
        <v>31</v>
      </c>
    </row>
    <row r="38" spans="1:6" ht="15" x14ac:dyDescent="0.25">
      <c r="A38" s="517" t="s">
        <v>32</v>
      </c>
      <c r="B38" s="15" t="s">
        <v>557</v>
      </c>
      <c r="C38" s="16">
        <v>0.26</v>
      </c>
      <c r="D38" s="17" t="s">
        <v>558</v>
      </c>
      <c r="E38" s="18">
        <v>282.58</v>
      </c>
      <c r="F38" s="19">
        <f>ROUND(C38*E38,2)</f>
        <v>73.47</v>
      </c>
    </row>
    <row r="39" spans="1:6" ht="15" x14ac:dyDescent="0.25">
      <c r="A39" s="517" t="s">
        <v>35</v>
      </c>
      <c r="B39" s="15" t="s">
        <v>559</v>
      </c>
      <c r="C39" s="16">
        <v>4.2000000000000003E-2</v>
      </c>
      <c r="D39" s="17" t="s">
        <v>558</v>
      </c>
      <c r="E39" s="18">
        <v>725</v>
      </c>
      <c r="F39" s="19">
        <f>ROUND(C39*E39,2)</f>
        <v>30.45</v>
      </c>
    </row>
    <row r="40" spans="1:6" ht="15.6" thickBot="1" x14ac:dyDescent="0.3">
      <c r="A40" s="517" t="s">
        <v>38</v>
      </c>
      <c r="B40" s="15" t="s">
        <v>536</v>
      </c>
      <c r="C40" s="16">
        <v>1</v>
      </c>
      <c r="D40" s="17" t="s">
        <v>168</v>
      </c>
      <c r="E40" s="18">
        <v>95</v>
      </c>
      <c r="F40" s="19">
        <f>ROUND(C40*E40,2)</f>
        <v>95</v>
      </c>
    </row>
    <row r="41" spans="1:6" ht="16.8" thickTop="1" thickBot="1" x14ac:dyDescent="0.35">
      <c r="A41" s="32"/>
      <c r="B41" s="33" t="s">
        <v>100</v>
      </c>
      <c r="C41" s="533"/>
      <c r="D41" s="35"/>
      <c r="E41" s="36"/>
      <c r="F41" s="534">
        <f>SUM(F38:F40)</f>
        <v>198.92000000000002</v>
      </c>
    </row>
    <row r="42" spans="1:6" ht="15.6" thickTop="1" x14ac:dyDescent="0.25">
      <c r="A42" s="596"/>
      <c r="B42" s="597"/>
      <c r="C42" s="598"/>
      <c r="D42" s="599"/>
      <c r="E42" s="598"/>
      <c r="F42" s="598"/>
    </row>
    <row r="43" spans="1:6" ht="16.2" thickBot="1" x14ac:dyDescent="0.35">
      <c r="A43" s="570">
        <v>37</v>
      </c>
      <c r="B43" s="368" t="s">
        <v>560</v>
      </c>
      <c r="C43" s="571"/>
      <c r="D43" s="572"/>
      <c r="E43" s="573"/>
      <c r="F43" s="574"/>
    </row>
    <row r="44" spans="1:6" ht="16.2" thickTop="1" x14ac:dyDescent="0.3">
      <c r="A44" s="100" t="s">
        <v>29</v>
      </c>
      <c r="B44" s="101" t="s">
        <v>30</v>
      </c>
      <c r="C44" s="102" t="s">
        <v>2</v>
      </c>
      <c r="D44" s="103" t="s">
        <v>1</v>
      </c>
      <c r="E44" s="104" t="s">
        <v>3</v>
      </c>
      <c r="F44" s="105" t="s">
        <v>31</v>
      </c>
    </row>
    <row r="45" spans="1:6" ht="15" x14ac:dyDescent="0.25">
      <c r="A45" s="517">
        <v>1</v>
      </c>
      <c r="B45" s="15" t="s">
        <v>561</v>
      </c>
      <c r="C45" s="16">
        <v>0.08</v>
      </c>
      <c r="D45" s="17" t="s">
        <v>558</v>
      </c>
      <c r="E45" s="18">
        <v>580</v>
      </c>
      <c r="F45" s="19">
        <f>ROUND(C45*E45,2)</f>
        <v>46.4</v>
      </c>
    </row>
    <row r="46" spans="1:6" ht="15" x14ac:dyDescent="0.25">
      <c r="A46" s="517">
        <f>1+A45</f>
        <v>2</v>
      </c>
      <c r="B46" s="15" t="s">
        <v>562</v>
      </c>
      <c r="C46" s="16">
        <v>1</v>
      </c>
      <c r="D46" s="17" t="s">
        <v>168</v>
      </c>
      <c r="E46" s="18">
        <v>8</v>
      </c>
      <c r="F46" s="19">
        <f>ROUND(C46*E46,2)</f>
        <v>8</v>
      </c>
    </row>
    <row r="47" spans="1:6" ht="15" x14ac:dyDescent="0.25">
      <c r="A47" s="517">
        <f>1+A46</f>
        <v>3</v>
      </c>
      <c r="B47" s="15" t="s">
        <v>563</v>
      </c>
      <c r="C47" s="16">
        <f>C46</f>
        <v>1</v>
      </c>
      <c r="D47" s="17" t="s">
        <v>168</v>
      </c>
      <c r="E47" s="18">
        <v>75</v>
      </c>
      <c r="F47" s="19">
        <f>ROUND(C47*E47,2)</f>
        <v>75</v>
      </c>
    </row>
    <row r="48" spans="1:6" ht="15" x14ac:dyDescent="0.25">
      <c r="A48" s="517">
        <f>1+A47</f>
        <v>4</v>
      </c>
      <c r="B48" s="15" t="s">
        <v>564</v>
      </c>
      <c r="C48" s="16">
        <v>1</v>
      </c>
      <c r="D48" s="17" t="s">
        <v>168</v>
      </c>
      <c r="E48" s="18">
        <v>60</v>
      </c>
      <c r="F48" s="19">
        <f>ROUND(C48*E48,2)</f>
        <v>60</v>
      </c>
    </row>
    <row r="49" spans="1:6" ht="16.2" thickBot="1" x14ac:dyDescent="0.35">
      <c r="A49" s="575">
        <f>1+A48</f>
        <v>5</v>
      </c>
      <c r="B49" s="576" t="s">
        <v>565</v>
      </c>
      <c r="C49" s="577">
        <v>0.2</v>
      </c>
      <c r="D49" s="578"/>
      <c r="E49" s="579">
        <f>SUM(F45:F48)</f>
        <v>189.4</v>
      </c>
      <c r="F49" s="580">
        <f>C49*E49</f>
        <v>37.880000000000003</v>
      </c>
    </row>
    <row r="50" spans="1:6" ht="16.8" thickTop="1" thickBot="1" x14ac:dyDescent="0.35">
      <c r="A50" s="32"/>
      <c r="B50" s="33" t="s">
        <v>100</v>
      </c>
      <c r="C50" s="533"/>
      <c r="D50" s="35"/>
      <c r="E50" s="36"/>
      <c r="F50" s="534">
        <f>SUM(F45:F49)</f>
        <v>227.28</v>
      </c>
    </row>
    <row r="51" spans="1:6" ht="15.6" thickTop="1" x14ac:dyDescent="0.25">
      <c r="A51" s="600"/>
      <c r="B51" s="600"/>
      <c r="C51" s="601"/>
      <c r="D51" s="602"/>
      <c r="E51" s="601"/>
      <c r="F51" s="601"/>
    </row>
    <row r="52" spans="1:6" ht="16.2" thickBot="1" x14ac:dyDescent="0.35">
      <c r="A52" s="570">
        <v>37</v>
      </c>
      <c r="B52" s="368" t="s">
        <v>566</v>
      </c>
      <c r="C52" s="571"/>
      <c r="D52" s="572"/>
      <c r="E52" s="573"/>
      <c r="F52" s="574"/>
    </row>
    <row r="53" spans="1:6" ht="16.2" thickTop="1" x14ac:dyDescent="0.3">
      <c r="A53" s="100" t="s">
        <v>29</v>
      </c>
      <c r="B53" s="101" t="s">
        <v>30</v>
      </c>
      <c r="C53" s="102" t="s">
        <v>2</v>
      </c>
      <c r="D53" s="103" t="s">
        <v>1</v>
      </c>
      <c r="E53" s="104" t="s">
        <v>3</v>
      </c>
      <c r="F53" s="105" t="s">
        <v>31</v>
      </c>
    </row>
    <row r="54" spans="1:6" ht="15" x14ac:dyDescent="0.25">
      <c r="A54" s="517">
        <v>1</v>
      </c>
      <c r="B54" s="15" t="s">
        <v>561</v>
      </c>
      <c r="C54" s="16">
        <v>0.08</v>
      </c>
      <c r="D54" s="17" t="s">
        <v>558</v>
      </c>
      <c r="E54" s="18">
        <v>580</v>
      </c>
      <c r="F54" s="19">
        <f>ROUND(C54*E54,2)</f>
        <v>46.4</v>
      </c>
    </row>
    <row r="55" spans="1:6" ht="15" x14ac:dyDescent="0.25">
      <c r="A55" s="517">
        <f>1+A54</f>
        <v>2</v>
      </c>
      <c r="B55" s="15" t="s">
        <v>562</v>
      </c>
      <c r="C55" s="16">
        <v>1</v>
      </c>
      <c r="D55" s="17" t="s">
        <v>168</v>
      </c>
      <c r="E55" s="18"/>
      <c r="F55" s="19">
        <f>ROUND(C55*E55,2)</f>
        <v>0</v>
      </c>
    </row>
    <row r="56" spans="1:6" ht="15" x14ac:dyDescent="0.25">
      <c r="A56" s="517">
        <f>1+A55</f>
        <v>3</v>
      </c>
      <c r="B56" s="15" t="s">
        <v>563</v>
      </c>
      <c r="C56" s="16">
        <f>C55</f>
        <v>1</v>
      </c>
      <c r="D56" s="17" t="s">
        <v>168</v>
      </c>
      <c r="E56" s="18">
        <v>50</v>
      </c>
      <c r="F56" s="19">
        <f>ROUND(C56*E56,2)</f>
        <v>50</v>
      </c>
    </row>
    <row r="57" spans="1:6" ht="16.2" thickBot="1" x14ac:dyDescent="0.35">
      <c r="A57" s="575" t="e">
        <f>1+#REF!</f>
        <v>#REF!</v>
      </c>
      <c r="B57" s="576" t="s">
        <v>565</v>
      </c>
      <c r="C57" s="577">
        <v>0.05</v>
      </c>
      <c r="D57" s="578"/>
      <c r="E57" s="579">
        <f>SUM(F54:F56)</f>
        <v>96.4</v>
      </c>
      <c r="F57" s="580">
        <f>C57*E57</f>
        <v>4.82</v>
      </c>
    </row>
    <row r="58" spans="1:6" ht="16.8" thickTop="1" thickBot="1" x14ac:dyDescent="0.35">
      <c r="A58" s="32"/>
      <c r="B58" s="33" t="s">
        <v>100</v>
      </c>
      <c r="C58" s="533"/>
      <c r="D58" s="35"/>
      <c r="E58" s="36"/>
      <c r="F58" s="534">
        <f>SUM(F54:F57)</f>
        <v>101.22</v>
      </c>
    </row>
    <row r="59" spans="1:6" ht="13.8" thickTop="1" x14ac:dyDescent="0.25"/>
    <row r="60" spans="1:6" ht="15.6" x14ac:dyDescent="0.3">
      <c r="A60" s="605">
        <v>45</v>
      </c>
      <c r="B60" s="606" t="s">
        <v>577</v>
      </c>
      <c r="C60" s="607"/>
      <c r="D60" s="608"/>
      <c r="E60" s="605"/>
      <c r="F60" s="609"/>
    </row>
    <row r="61" spans="1:6" ht="16.2" thickBot="1" x14ac:dyDescent="0.35">
      <c r="A61" s="463"/>
      <c r="B61" s="903" t="s">
        <v>578</v>
      </c>
      <c r="C61" s="903"/>
      <c r="D61" s="903"/>
      <c r="E61" s="903"/>
      <c r="F61" s="903"/>
    </row>
    <row r="62" spans="1:6" ht="16.2" thickTop="1" x14ac:dyDescent="0.3">
      <c r="A62" s="610" t="s">
        <v>29</v>
      </c>
      <c r="B62" s="611" t="s">
        <v>30</v>
      </c>
      <c r="C62" s="612" t="s">
        <v>2</v>
      </c>
      <c r="D62" s="613" t="s">
        <v>1</v>
      </c>
      <c r="E62" s="614" t="s">
        <v>3</v>
      </c>
      <c r="F62" s="615" t="s">
        <v>31</v>
      </c>
    </row>
    <row r="63" spans="1:6" ht="15" x14ac:dyDescent="0.25">
      <c r="A63" s="234" t="s">
        <v>43</v>
      </c>
      <c r="B63" s="233" t="s">
        <v>579</v>
      </c>
      <c r="C63" s="231">
        <v>5</v>
      </c>
      <c r="D63" s="232" t="s">
        <v>189</v>
      </c>
      <c r="E63" s="231">
        <v>850</v>
      </c>
      <c r="F63" s="616">
        <f>SUM(C63*E63)</f>
        <v>4250</v>
      </c>
    </row>
    <row r="64" spans="1:6" ht="15" x14ac:dyDescent="0.25">
      <c r="A64" s="234" t="s">
        <v>45</v>
      </c>
      <c r="B64" s="233" t="s">
        <v>580</v>
      </c>
      <c r="C64" s="231">
        <v>2</v>
      </c>
      <c r="D64" s="232" t="s">
        <v>189</v>
      </c>
      <c r="E64" s="231">
        <v>806</v>
      </c>
      <c r="F64" s="617">
        <f t="shared" ref="F64:F72" si="0">+E64*C64</f>
        <v>1612</v>
      </c>
    </row>
    <row r="65" spans="1:6" ht="15" x14ac:dyDescent="0.25">
      <c r="A65" s="234" t="s">
        <v>58</v>
      </c>
      <c r="B65" s="233" t="s">
        <v>581</v>
      </c>
      <c r="C65" s="231">
        <v>2</v>
      </c>
      <c r="D65" s="232" t="s">
        <v>189</v>
      </c>
      <c r="E65" s="231">
        <v>747.97</v>
      </c>
      <c r="F65" s="617">
        <f t="shared" si="0"/>
        <v>1495.94</v>
      </c>
    </row>
    <row r="66" spans="1:6" ht="15" x14ac:dyDescent="0.25">
      <c r="A66" s="234" t="s">
        <v>60</v>
      </c>
      <c r="B66" s="233" t="s">
        <v>582</v>
      </c>
      <c r="C66" s="231">
        <v>12</v>
      </c>
      <c r="D66" s="232" t="s">
        <v>269</v>
      </c>
      <c r="E66" s="231">
        <v>320</v>
      </c>
      <c r="F66" s="617">
        <f t="shared" si="0"/>
        <v>3840</v>
      </c>
    </row>
    <row r="67" spans="1:6" ht="15" x14ac:dyDescent="0.25">
      <c r="A67" s="234" t="s">
        <v>583</v>
      </c>
      <c r="B67" s="233" t="s">
        <v>584</v>
      </c>
      <c r="C67" s="231">
        <v>2</v>
      </c>
      <c r="D67" s="232" t="s">
        <v>189</v>
      </c>
      <c r="E67" s="231">
        <v>74.400000000000006</v>
      </c>
      <c r="F67" s="617">
        <f t="shared" si="0"/>
        <v>148.80000000000001</v>
      </c>
    </row>
    <row r="68" spans="1:6" ht="15" x14ac:dyDescent="0.25">
      <c r="A68" s="234" t="s">
        <v>64</v>
      </c>
      <c r="B68" s="233" t="s">
        <v>585</v>
      </c>
      <c r="C68" s="231">
        <v>3</v>
      </c>
      <c r="D68" s="232" t="s">
        <v>189</v>
      </c>
      <c r="E68" s="231">
        <v>49.6</v>
      </c>
      <c r="F68" s="617">
        <f t="shared" si="0"/>
        <v>148.80000000000001</v>
      </c>
    </row>
    <row r="69" spans="1:6" ht="15" x14ac:dyDescent="0.25">
      <c r="A69" s="234" t="s">
        <v>66</v>
      </c>
      <c r="B69" s="233" t="s">
        <v>586</v>
      </c>
      <c r="C69" s="231">
        <v>8</v>
      </c>
      <c r="D69" s="232" t="s">
        <v>189</v>
      </c>
      <c r="E69" s="231">
        <v>198.4</v>
      </c>
      <c r="F69" s="617">
        <f t="shared" si="0"/>
        <v>1587.2</v>
      </c>
    </row>
    <row r="70" spans="1:6" ht="15" x14ac:dyDescent="0.25">
      <c r="A70" s="234" t="s">
        <v>587</v>
      </c>
      <c r="B70" s="233" t="s">
        <v>588</v>
      </c>
      <c r="C70" s="231">
        <v>15</v>
      </c>
      <c r="D70" s="232" t="s">
        <v>189</v>
      </c>
      <c r="E70" s="231">
        <v>18.600000000000001</v>
      </c>
      <c r="F70" s="617">
        <f t="shared" si="0"/>
        <v>279</v>
      </c>
    </row>
    <row r="71" spans="1:6" ht="15" x14ac:dyDescent="0.25">
      <c r="A71" s="234" t="s">
        <v>589</v>
      </c>
      <c r="B71" s="233" t="s">
        <v>590</v>
      </c>
      <c r="C71" s="231">
        <v>0.6</v>
      </c>
      <c r="D71" s="232" t="s">
        <v>591</v>
      </c>
      <c r="E71" s="231">
        <v>55</v>
      </c>
      <c r="F71" s="617">
        <f t="shared" si="0"/>
        <v>33</v>
      </c>
    </row>
    <row r="72" spans="1:6" ht="15" x14ac:dyDescent="0.25">
      <c r="A72" s="234" t="s">
        <v>592</v>
      </c>
      <c r="B72" s="233" t="s">
        <v>7</v>
      </c>
      <c r="C72" s="231">
        <v>12</v>
      </c>
      <c r="D72" s="232" t="s">
        <v>269</v>
      </c>
      <c r="E72" s="231">
        <v>250</v>
      </c>
      <c r="F72" s="617">
        <f t="shared" si="0"/>
        <v>3000</v>
      </c>
    </row>
    <row r="73" spans="1:6" ht="15" x14ac:dyDescent="0.25">
      <c r="A73" s="234"/>
      <c r="B73" s="230"/>
      <c r="C73" s="231"/>
      <c r="D73" s="232"/>
      <c r="E73" s="231" t="s">
        <v>47</v>
      </c>
      <c r="F73" s="618">
        <f>SUM(F63:F72)</f>
        <v>16394.739999999998</v>
      </c>
    </row>
    <row r="74" spans="1:6" ht="16.2" thickBot="1" x14ac:dyDescent="0.35">
      <c r="A74" s="619"/>
      <c r="B74" s="620"/>
      <c r="C74" s="621"/>
      <c r="D74" s="622"/>
      <c r="E74" s="621"/>
      <c r="F74" s="623"/>
    </row>
    <row r="75" spans="1:6" ht="16.8" thickTop="1" thickBot="1" x14ac:dyDescent="0.35">
      <c r="A75" s="624"/>
      <c r="B75" s="625" t="s">
        <v>527</v>
      </c>
      <c r="C75" s="626"/>
      <c r="D75" s="627"/>
      <c r="E75" s="626"/>
      <c r="F75" s="628">
        <f>F73/12</f>
        <v>1366.2283333333332</v>
      </c>
    </row>
    <row r="76" spans="1:6" ht="13.8" thickTop="1" x14ac:dyDescent="0.25"/>
    <row r="77" spans="1:6" ht="16.2" thickBot="1" x14ac:dyDescent="0.35">
      <c r="A77" s="570">
        <v>37</v>
      </c>
      <c r="B77" s="368" t="s">
        <v>593</v>
      </c>
      <c r="C77" s="571"/>
      <c r="D77" s="572"/>
      <c r="E77" s="573"/>
      <c r="F77" s="574"/>
    </row>
    <row r="78" spans="1:6" ht="16.2" thickTop="1" x14ac:dyDescent="0.3">
      <c r="A78" s="100" t="s">
        <v>29</v>
      </c>
      <c r="B78" s="101" t="s">
        <v>30</v>
      </c>
      <c r="C78" s="102" t="s">
        <v>2</v>
      </c>
      <c r="D78" s="103" t="s">
        <v>1</v>
      </c>
      <c r="E78" s="104" t="s">
        <v>3</v>
      </c>
      <c r="F78" s="105" t="s">
        <v>31</v>
      </c>
    </row>
    <row r="79" spans="1:6" ht="15" x14ac:dyDescent="0.25">
      <c r="A79" s="517">
        <v>1</v>
      </c>
      <c r="B79" s="15" t="s">
        <v>594</v>
      </c>
      <c r="C79" s="16">
        <v>0.08</v>
      </c>
      <c r="D79" s="17" t="s">
        <v>558</v>
      </c>
      <c r="E79" s="18">
        <v>875</v>
      </c>
      <c r="F79" s="19">
        <f>ROUND(C79*E79,2)</f>
        <v>70</v>
      </c>
    </row>
    <row r="80" spans="1:6" ht="15" x14ac:dyDescent="0.25">
      <c r="A80" s="517">
        <f>1+A79</f>
        <v>2</v>
      </c>
      <c r="B80" s="629" t="s">
        <v>595</v>
      </c>
      <c r="C80" s="630">
        <v>0.13</v>
      </c>
      <c r="D80" s="631" t="s">
        <v>558</v>
      </c>
      <c r="E80" s="632">
        <v>280</v>
      </c>
      <c r="F80" s="633">
        <f>ROUND(C80*E80,2)</f>
        <v>36.4</v>
      </c>
    </row>
    <row r="81" spans="1:6" ht="15" x14ac:dyDescent="0.25">
      <c r="A81" s="517">
        <f>1+A80</f>
        <v>3</v>
      </c>
      <c r="B81" s="15" t="s">
        <v>563</v>
      </c>
      <c r="C81" s="16">
        <v>1</v>
      </c>
      <c r="D81" s="17" t="s">
        <v>168</v>
      </c>
      <c r="E81" s="18">
        <v>75</v>
      </c>
      <c r="F81" s="19">
        <f>ROUND(C81*E81,2)</f>
        <v>75</v>
      </c>
    </row>
    <row r="82" spans="1:6" ht="16.2" thickBot="1" x14ac:dyDescent="0.35">
      <c r="A82" s="575" t="e">
        <f>1+#REF!</f>
        <v>#REF!</v>
      </c>
      <c r="B82" s="576" t="s">
        <v>565</v>
      </c>
      <c r="C82" s="577">
        <v>0.2</v>
      </c>
      <c r="D82" s="578"/>
      <c r="E82" s="579">
        <f>SUM(F79:F81)</f>
        <v>181.4</v>
      </c>
      <c r="F82" s="580">
        <f>C82*E82</f>
        <v>36.28</v>
      </c>
    </row>
    <row r="83" spans="1:6" ht="16.8" thickTop="1" thickBot="1" x14ac:dyDescent="0.35">
      <c r="A83" s="32"/>
      <c r="B83" s="33" t="s">
        <v>100</v>
      </c>
      <c r="C83" s="533"/>
      <c r="D83" s="35"/>
      <c r="E83" s="36"/>
      <c r="F83" s="534">
        <f>SUM(F79:F82)</f>
        <v>217.68</v>
      </c>
    </row>
    <row r="84" spans="1:6" ht="13.8" thickTop="1" x14ac:dyDescent="0.25"/>
    <row r="85" spans="1:6" ht="16.2" thickBot="1" x14ac:dyDescent="0.3">
      <c r="A85" s="634">
        <v>39</v>
      </c>
      <c r="B85" s="635" t="s">
        <v>596</v>
      </c>
      <c r="C85" s="636"/>
      <c r="D85" s="637"/>
      <c r="E85" s="638"/>
      <c r="F85" s="638"/>
    </row>
    <row r="86" spans="1:6" ht="16.2" thickTop="1" x14ac:dyDescent="0.3">
      <c r="A86" s="639" t="s">
        <v>29</v>
      </c>
      <c r="B86" s="640" t="s">
        <v>30</v>
      </c>
      <c r="C86" s="641" t="s">
        <v>2</v>
      </c>
      <c r="D86" s="642" t="s">
        <v>1</v>
      </c>
      <c r="E86" s="643" t="s">
        <v>3</v>
      </c>
      <c r="F86" s="644" t="s">
        <v>31</v>
      </c>
    </row>
    <row r="87" spans="1:6" ht="15" x14ac:dyDescent="0.25">
      <c r="A87" s="645" t="s">
        <v>32</v>
      </c>
      <c r="B87" s="629" t="s">
        <v>597</v>
      </c>
      <c r="C87" s="630">
        <v>0.08</v>
      </c>
      <c r="D87" s="631" t="s">
        <v>558</v>
      </c>
      <c r="E87" s="632">
        <v>650</v>
      </c>
      <c r="F87" s="633">
        <f>ROUND(C87*E87,2)</f>
        <v>52</v>
      </c>
    </row>
    <row r="88" spans="1:6" ht="15" x14ac:dyDescent="0.25">
      <c r="A88" s="645" t="s">
        <v>38</v>
      </c>
      <c r="B88" s="629" t="s">
        <v>595</v>
      </c>
      <c r="C88" s="630">
        <v>0.13</v>
      </c>
      <c r="D88" s="631" t="s">
        <v>558</v>
      </c>
      <c r="E88" s="632">
        <v>280</v>
      </c>
      <c r="F88" s="633">
        <f>ROUND(C88*E88,2)</f>
        <v>36.4</v>
      </c>
    </row>
    <row r="89" spans="1:6" ht="15" x14ac:dyDescent="0.25">
      <c r="A89" s="645" t="s">
        <v>39</v>
      </c>
      <c r="B89" s="646" t="s">
        <v>563</v>
      </c>
      <c r="C89" s="630">
        <v>1</v>
      </c>
      <c r="D89" s="631" t="s">
        <v>168</v>
      </c>
      <c r="E89" s="632">
        <v>35</v>
      </c>
      <c r="F89" s="633">
        <f>ROUND(C89*E89,2)</f>
        <v>35</v>
      </c>
    </row>
    <row r="90" spans="1:6" ht="15" x14ac:dyDescent="0.25">
      <c r="A90" s="645" t="s">
        <v>41</v>
      </c>
      <c r="B90" s="646" t="s">
        <v>565</v>
      </c>
      <c r="C90" s="647">
        <v>0.2</v>
      </c>
      <c r="D90" s="648"/>
      <c r="E90" s="630">
        <f>SUM(F87:F89)</f>
        <v>123.4</v>
      </c>
      <c r="F90" s="633">
        <f>C90*E90</f>
        <v>24.680000000000003</v>
      </c>
    </row>
    <row r="91" spans="1:6" ht="16.2" thickBot="1" x14ac:dyDescent="0.35">
      <c r="A91" s="649"/>
      <c r="B91" s="650" t="s">
        <v>100</v>
      </c>
      <c r="C91" s="651"/>
      <c r="D91" s="652"/>
      <c r="E91" s="653"/>
      <c r="F91" s="654">
        <f>SUM(F87:F90)</f>
        <v>148.08000000000001</v>
      </c>
    </row>
    <row r="92" spans="1:6" ht="13.8" thickTop="1" x14ac:dyDescent="0.25"/>
    <row r="93" spans="1:6" ht="32.25" customHeight="1" thickBot="1" x14ac:dyDescent="0.35">
      <c r="A93" s="605"/>
      <c r="B93" s="904" t="s">
        <v>598</v>
      </c>
      <c r="C93" s="904"/>
      <c r="D93" s="904"/>
      <c r="E93" s="904"/>
      <c r="F93" s="904"/>
    </row>
    <row r="94" spans="1:6" ht="16.2" thickTop="1" x14ac:dyDescent="0.3">
      <c r="A94" s="610" t="s">
        <v>29</v>
      </c>
      <c r="B94" s="611" t="s">
        <v>30</v>
      </c>
      <c r="C94" s="612" t="s">
        <v>2</v>
      </c>
      <c r="D94" s="613" t="s">
        <v>1</v>
      </c>
      <c r="E94" s="614" t="s">
        <v>3</v>
      </c>
      <c r="F94" s="615" t="s">
        <v>31</v>
      </c>
    </row>
    <row r="95" spans="1:6" ht="15" x14ac:dyDescent="0.25">
      <c r="A95" s="234" t="s">
        <v>43</v>
      </c>
      <c r="B95" s="233" t="s">
        <v>599</v>
      </c>
      <c r="C95" s="231">
        <f>67*2</f>
        <v>134</v>
      </c>
      <c r="D95" s="232" t="s">
        <v>600</v>
      </c>
      <c r="E95" s="231">
        <v>26</v>
      </c>
      <c r="F95" s="633">
        <f>ROUND(C95*E95,2)</f>
        <v>3484</v>
      </c>
    </row>
    <row r="96" spans="1:6" ht="15" x14ac:dyDescent="0.25">
      <c r="A96" s="234" t="s">
        <v>45</v>
      </c>
      <c r="B96" s="233" t="s">
        <v>601</v>
      </c>
      <c r="C96" s="231">
        <v>67</v>
      </c>
      <c r="D96" s="232" t="s">
        <v>600</v>
      </c>
      <c r="E96" s="231">
        <v>18</v>
      </c>
      <c r="F96" s="633">
        <f>ROUND(C96*E96,2)</f>
        <v>1206</v>
      </c>
    </row>
    <row r="97" spans="1:9" ht="15" x14ac:dyDescent="0.25">
      <c r="A97" s="234" t="s">
        <v>58</v>
      </c>
      <c r="B97" s="233" t="s">
        <v>602</v>
      </c>
      <c r="C97" s="231">
        <v>70</v>
      </c>
      <c r="D97" s="232" t="s">
        <v>600</v>
      </c>
      <c r="E97" s="231">
        <v>12</v>
      </c>
      <c r="F97" s="633">
        <f>ROUND(C97*E97,2)</f>
        <v>840</v>
      </c>
    </row>
    <row r="98" spans="1:9" ht="15" x14ac:dyDescent="0.25">
      <c r="A98" s="234" t="s">
        <v>60</v>
      </c>
      <c r="B98" s="233" t="s">
        <v>485</v>
      </c>
      <c r="C98" s="231">
        <v>0.3</v>
      </c>
      <c r="D98" s="232" t="s">
        <v>200</v>
      </c>
      <c r="E98" s="231">
        <f>SUM(F95:F97)</f>
        <v>5530</v>
      </c>
      <c r="F98" s="633">
        <f>ROUND(C98*E98,2)</f>
        <v>1659</v>
      </c>
    </row>
    <row r="99" spans="1:9" ht="16.2" thickBot="1" x14ac:dyDescent="0.35">
      <c r="A99" s="619"/>
      <c r="B99" s="620"/>
      <c r="C99" s="621"/>
      <c r="D99" s="622"/>
      <c r="E99" s="621"/>
      <c r="F99" s="623"/>
    </row>
    <row r="100" spans="1:9" ht="16.8" thickTop="1" thickBot="1" x14ac:dyDescent="0.35">
      <c r="A100" s="624"/>
      <c r="B100" s="625" t="s">
        <v>527</v>
      </c>
      <c r="C100" s="626"/>
      <c r="D100" s="627"/>
      <c r="E100" s="626"/>
      <c r="F100" s="628">
        <f>SUM(F95:F99)/67</f>
        <v>107.29850746268657</v>
      </c>
    </row>
    <row r="101" spans="1:9" ht="13.8" thickTop="1" x14ac:dyDescent="0.25"/>
    <row r="102" spans="1:9" ht="16.2" thickBot="1" x14ac:dyDescent="0.35">
      <c r="A102" s="605"/>
      <c r="B102" s="904" t="s">
        <v>603</v>
      </c>
      <c r="C102" s="904"/>
      <c r="D102" s="904"/>
      <c r="E102" s="904"/>
      <c r="F102" s="904"/>
    </row>
    <row r="103" spans="1:9" ht="16.2" thickTop="1" x14ac:dyDescent="0.3">
      <c r="A103" s="610" t="s">
        <v>29</v>
      </c>
      <c r="B103" s="611" t="s">
        <v>30</v>
      </c>
      <c r="C103" s="612" t="s">
        <v>2</v>
      </c>
      <c r="D103" s="613" t="s">
        <v>1</v>
      </c>
      <c r="E103" s="614" t="s">
        <v>3</v>
      </c>
      <c r="F103" s="615" t="s">
        <v>31</v>
      </c>
    </row>
    <row r="104" spans="1:9" ht="15" x14ac:dyDescent="0.25">
      <c r="A104" s="234" t="s">
        <v>43</v>
      </c>
      <c r="B104" s="233" t="s">
        <v>604</v>
      </c>
      <c r="C104" s="231">
        <v>1</v>
      </c>
      <c r="D104" s="232" t="s">
        <v>1</v>
      </c>
      <c r="E104" s="231">
        <v>650</v>
      </c>
      <c r="F104" s="633">
        <f>ROUND(C104*E104,2)</f>
        <v>650</v>
      </c>
    </row>
    <row r="105" spans="1:9" ht="15" x14ac:dyDescent="0.25">
      <c r="A105" s="234" t="s">
        <v>45</v>
      </c>
      <c r="B105" s="233" t="s">
        <v>605</v>
      </c>
      <c r="C105" s="231">
        <v>1</v>
      </c>
      <c r="D105" s="232" t="s">
        <v>107</v>
      </c>
      <c r="E105" s="231">
        <v>350</v>
      </c>
      <c r="F105" s="633">
        <f>ROUND(C105*E105,2)</f>
        <v>350</v>
      </c>
    </row>
    <row r="106" spans="1:9" ht="15" x14ac:dyDescent="0.25">
      <c r="A106" s="234" t="s">
        <v>60</v>
      </c>
      <c r="B106" s="233" t="s">
        <v>485</v>
      </c>
      <c r="C106" s="231">
        <v>0.3</v>
      </c>
      <c r="D106" s="232" t="s">
        <v>200</v>
      </c>
      <c r="E106" s="231">
        <f>SUM(F104:F105)</f>
        <v>1000</v>
      </c>
      <c r="F106" s="633">
        <f>ROUND(C106*E106,2)</f>
        <v>300</v>
      </c>
    </row>
    <row r="107" spans="1:9" ht="16.2" thickBot="1" x14ac:dyDescent="0.35">
      <c r="A107" s="619"/>
      <c r="B107" s="620"/>
      <c r="C107" s="621"/>
      <c r="D107" s="622"/>
      <c r="E107" s="621"/>
      <c r="F107" s="623"/>
    </row>
    <row r="108" spans="1:9" ht="16.8" thickTop="1" thickBot="1" x14ac:dyDescent="0.35">
      <c r="A108" s="624"/>
      <c r="B108" s="625" t="s">
        <v>606</v>
      </c>
      <c r="C108" s="626"/>
      <c r="D108" s="627"/>
      <c r="E108" s="626"/>
      <c r="F108" s="628">
        <f>SUM(F104:F107)</f>
        <v>1300</v>
      </c>
    </row>
    <row r="109" spans="1:9" ht="13.8" thickTop="1" x14ac:dyDescent="0.25"/>
    <row r="110" spans="1:9" ht="16.2" thickBot="1" x14ac:dyDescent="0.35">
      <c r="A110" s="463"/>
      <c r="B110" s="902" t="s">
        <v>619</v>
      </c>
      <c r="C110" s="902"/>
      <c r="D110" s="902"/>
      <c r="E110" s="902"/>
      <c r="F110" s="902"/>
    </row>
    <row r="111" spans="1:9" ht="16.2" thickTop="1" x14ac:dyDescent="0.3">
      <c r="A111" s="610" t="s">
        <v>29</v>
      </c>
      <c r="B111" s="611" t="s">
        <v>30</v>
      </c>
      <c r="C111" s="612" t="s">
        <v>2</v>
      </c>
      <c r="D111" s="613" t="s">
        <v>1</v>
      </c>
      <c r="E111" s="614" t="s">
        <v>3</v>
      </c>
      <c r="F111" s="615" t="s">
        <v>31</v>
      </c>
    </row>
    <row r="112" spans="1:9" ht="15" x14ac:dyDescent="0.25">
      <c r="A112" s="234" t="s">
        <v>43</v>
      </c>
      <c r="B112" s="233" t="s">
        <v>607</v>
      </c>
      <c r="C112" s="231">
        <v>20</v>
      </c>
      <c r="D112" s="232" t="s">
        <v>269</v>
      </c>
      <c r="E112" s="231">
        <v>30.83</v>
      </c>
      <c r="F112" s="616">
        <f>SUM(C112*E112)</f>
        <v>616.59999999999991</v>
      </c>
      <c r="I112" s="221">
        <f>185/6</f>
        <v>30.833333333333332</v>
      </c>
    </row>
    <row r="113" spans="1:6" ht="15" x14ac:dyDescent="0.25">
      <c r="A113" s="234" t="s">
        <v>45</v>
      </c>
      <c r="B113" s="233" t="s">
        <v>608</v>
      </c>
      <c r="C113" s="231">
        <v>1</v>
      </c>
      <c r="D113" s="232" t="s">
        <v>189</v>
      </c>
      <c r="E113" s="231">
        <v>180</v>
      </c>
      <c r="F113" s="617">
        <f t="shared" ref="F113:F121" si="1">+E113*C113</f>
        <v>180</v>
      </c>
    </row>
    <row r="114" spans="1:6" ht="15" x14ac:dyDescent="0.25">
      <c r="A114" s="234" t="s">
        <v>58</v>
      </c>
      <c r="B114" s="233" t="s">
        <v>609</v>
      </c>
      <c r="C114" s="231">
        <v>2</v>
      </c>
      <c r="D114" s="232" t="s">
        <v>617</v>
      </c>
      <c r="E114" s="231">
        <v>12</v>
      </c>
      <c r="F114" s="617">
        <f t="shared" si="1"/>
        <v>24</v>
      </c>
    </row>
    <row r="115" spans="1:6" ht="15" x14ac:dyDescent="0.25">
      <c r="A115" s="234" t="s">
        <v>60</v>
      </c>
      <c r="B115" s="233" t="s">
        <v>610</v>
      </c>
      <c r="C115" s="231">
        <v>2</v>
      </c>
      <c r="D115" s="232" t="s">
        <v>617</v>
      </c>
      <c r="E115" s="231">
        <v>45</v>
      </c>
      <c r="F115" s="617">
        <f t="shared" si="1"/>
        <v>90</v>
      </c>
    </row>
    <row r="116" spans="1:6" ht="15" x14ac:dyDescent="0.25">
      <c r="A116" s="234" t="s">
        <v>583</v>
      </c>
      <c r="B116" s="233" t="s">
        <v>611</v>
      </c>
      <c r="C116" s="231">
        <v>1</v>
      </c>
      <c r="D116" s="232" t="s">
        <v>189</v>
      </c>
      <c r="E116" s="231">
        <v>155</v>
      </c>
      <c r="F116" s="617">
        <f t="shared" si="1"/>
        <v>155</v>
      </c>
    </row>
    <row r="117" spans="1:6" ht="15" x14ac:dyDescent="0.25">
      <c r="A117" s="234" t="s">
        <v>64</v>
      </c>
      <c r="B117" s="233" t="s">
        <v>612</v>
      </c>
      <c r="C117" s="231">
        <v>0.1</v>
      </c>
      <c r="D117" s="232" t="s">
        <v>618</v>
      </c>
      <c r="E117" s="231">
        <v>590</v>
      </c>
      <c r="F117" s="617">
        <f t="shared" si="1"/>
        <v>59</v>
      </c>
    </row>
    <row r="118" spans="1:6" ht="15" x14ac:dyDescent="0.25">
      <c r="A118" s="234" t="s">
        <v>66</v>
      </c>
      <c r="B118" s="233" t="s">
        <v>613</v>
      </c>
      <c r="C118" s="231">
        <v>1</v>
      </c>
      <c r="D118" s="232" t="s">
        <v>189</v>
      </c>
      <c r="E118" s="231">
        <v>780</v>
      </c>
      <c r="F118" s="617">
        <f t="shared" si="1"/>
        <v>780</v>
      </c>
    </row>
    <row r="119" spans="1:6" ht="15" x14ac:dyDescent="0.25">
      <c r="A119" s="234" t="s">
        <v>587</v>
      </c>
      <c r="B119" s="233" t="s">
        <v>614</v>
      </c>
      <c r="C119" s="231">
        <v>3</v>
      </c>
      <c r="D119" s="232" t="s">
        <v>6</v>
      </c>
      <c r="E119" s="231" t="e">
        <f>#REF!+50</f>
        <v>#REF!</v>
      </c>
      <c r="F119" s="617" t="e">
        <f t="shared" si="1"/>
        <v>#REF!</v>
      </c>
    </row>
    <row r="120" spans="1:6" ht="15" x14ac:dyDescent="0.25">
      <c r="A120" s="234" t="s">
        <v>589</v>
      </c>
      <c r="B120" s="233" t="s">
        <v>615</v>
      </c>
      <c r="C120" s="231">
        <v>1</v>
      </c>
      <c r="D120" s="232" t="s">
        <v>189</v>
      </c>
      <c r="E120" s="231">
        <v>350</v>
      </c>
      <c r="F120" s="617">
        <f t="shared" si="1"/>
        <v>350</v>
      </c>
    </row>
    <row r="121" spans="1:6" ht="15" x14ac:dyDescent="0.25">
      <c r="A121" s="234" t="s">
        <v>592</v>
      </c>
      <c r="B121" s="233" t="s">
        <v>616</v>
      </c>
      <c r="C121" s="231">
        <v>1</v>
      </c>
      <c r="D121" s="232" t="s">
        <v>189</v>
      </c>
      <c r="E121" s="231">
        <v>200</v>
      </c>
      <c r="F121" s="617">
        <f t="shared" si="1"/>
        <v>200</v>
      </c>
    </row>
    <row r="122" spans="1:6" ht="15" x14ac:dyDescent="0.25">
      <c r="A122" s="234"/>
      <c r="B122" s="230"/>
      <c r="C122" s="231"/>
      <c r="D122" s="232"/>
      <c r="E122" s="231" t="s">
        <v>47</v>
      </c>
      <c r="F122" s="618" t="e">
        <f>SUM(F112:F121)</f>
        <v>#REF!</v>
      </c>
    </row>
    <row r="123" spans="1:6" ht="16.2" thickBot="1" x14ac:dyDescent="0.35">
      <c r="A123" s="619"/>
      <c r="B123" s="620"/>
      <c r="C123" s="621"/>
      <c r="D123" s="622"/>
      <c r="E123" s="621"/>
      <c r="F123" s="623"/>
    </row>
    <row r="124" spans="1:6" ht="16.8" thickTop="1" thickBot="1" x14ac:dyDescent="0.35">
      <c r="A124" s="624"/>
      <c r="B124" s="625" t="s">
        <v>553</v>
      </c>
      <c r="C124" s="626"/>
      <c r="D124" s="627"/>
      <c r="E124" s="626"/>
      <c r="F124" s="628" t="e">
        <f>F122</f>
        <v>#REF!</v>
      </c>
    </row>
    <row r="125" spans="1:6" ht="13.8" thickTop="1" x14ac:dyDescent="0.25"/>
    <row r="126" spans="1:6" ht="16.2" thickBot="1" x14ac:dyDescent="0.35">
      <c r="A126" s="463"/>
      <c r="B126" s="902" t="s">
        <v>620</v>
      </c>
      <c r="C126" s="902"/>
      <c r="D126" s="902"/>
      <c r="E126" s="902"/>
      <c r="F126" s="902"/>
    </row>
    <row r="127" spans="1:6" ht="16.2" thickTop="1" x14ac:dyDescent="0.3">
      <c r="A127" s="610" t="s">
        <v>29</v>
      </c>
      <c r="B127" s="611" t="s">
        <v>30</v>
      </c>
      <c r="C127" s="612" t="s">
        <v>2</v>
      </c>
      <c r="D127" s="613" t="s">
        <v>1</v>
      </c>
      <c r="E127" s="614" t="s">
        <v>3</v>
      </c>
      <c r="F127" s="615" t="s">
        <v>31</v>
      </c>
    </row>
    <row r="128" spans="1:6" ht="15" x14ac:dyDescent="0.25">
      <c r="A128" s="234" t="s">
        <v>43</v>
      </c>
      <c r="B128" s="233" t="s">
        <v>321</v>
      </c>
      <c r="C128" s="231">
        <v>1</v>
      </c>
      <c r="D128" s="232" t="s">
        <v>157</v>
      </c>
      <c r="E128" s="231">
        <v>2000</v>
      </c>
      <c r="F128" s="616">
        <f>SUM(C128*E128)</f>
        <v>2000</v>
      </c>
    </row>
    <row r="129" spans="1:6" ht="15" x14ac:dyDescent="0.25">
      <c r="A129" s="234" t="s">
        <v>45</v>
      </c>
      <c r="B129" s="233" t="s">
        <v>322</v>
      </c>
      <c r="C129" s="231">
        <v>100</v>
      </c>
      <c r="D129" s="232" t="s">
        <v>130</v>
      </c>
      <c r="E129" s="231">
        <v>65</v>
      </c>
      <c r="F129" s="617">
        <f t="shared" ref="F129:F131" si="2">+E129*C129</f>
        <v>6500</v>
      </c>
    </row>
    <row r="130" spans="1:6" ht="15" x14ac:dyDescent="0.25">
      <c r="A130" s="234" t="s">
        <v>58</v>
      </c>
      <c r="B130" s="233" t="s">
        <v>323</v>
      </c>
      <c r="C130" s="231">
        <v>0.02</v>
      </c>
      <c r="D130" s="232" t="s">
        <v>157</v>
      </c>
      <c r="E130" s="231">
        <v>3200</v>
      </c>
      <c r="F130" s="617">
        <f t="shared" si="2"/>
        <v>64</v>
      </c>
    </row>
    <row r="131" spans="1:6" ht="15" x14ac:dyDescent="0.25">
      <c r="A131" s="234" t="s">
        <v>60</v>
      </c>
      <c r="B131" s="233" t="s">
        <v>324</v>
      </c>
      <c r="C131" s="231">
        <v>2</v>
      </c>
      <c r="D131" s="232" t="s">
        <v>325</v>
      </c>
      <c r="E131" s="231">
        <v>6500</v>
      </c>
      <c r="F131" s="617">
        <f t="shared" si="2"/>
        <v>13000</v>
      </c>
    </row>
    <row r="132" spans="1:6" ht="16.2" thickBot="1" x14ac:dyDescent="0.35">
      <c r="A132" s="619"/>
      <c r="B132" s="620"/>
      <c r="C132" s="621"/>
      <c r="D132" s="622"/>
      <c r="E132" s="621"/>
      <c r="F132" s="623"/>
    </row>
    <row r="133" spans="1:6" ht="16.8" thickTop="1" thickBot="1" x14ac:dyDescent="0.35">
      <c r="A133" s="624"/>
      <c r="B133" s="625" t="s">
        <v>553</v>
      </c>
      <c r="C133" s="626"/>
      <c r="D133" s="627"/>
      <c r="E133" s="626"/>
      <c r="F133" s="628">
        <f>SUM(F128:F131)/2</f>
        <v>10782</v>
      </c>
    </row>
    <row r="134" spans="1:6" ht="13.8" thickTop="1" x14ac:dyDescent="0.25"/>
    <row r="135" spans="1:6" ht="16.2" thickBot="1" x14ac:dyDescent="0.3">
      <c r="A135" s="902" t="s">
        <v>703</v>
      </c>
      <c r="B135" s="902"/>
      <c r="C135" s="902"/>
      <c r="D135" s="902"/>
      <c r="E135" s="902"/>
      <c r="F135" s="902"/>
    </row>
    <row r="136" spans="1:6" ht="16.2" thickTop="1" x14ac:dyDescent="0.3">
      <c r="A136" s="610"/>
      <c r="B136" s="611" t="s">
        <v>30</v>
      </c>
      <c r="C136" s="612" t="s">
        <v>135</v>
      </c>
      <c r="D136" s="613" t="s">
        <v>136</v>
      </c>
      <c r="E136" s="614" t="s">
        <v>227</v>
      </c>
      <c r="F136" s="615" t="s">
        <v>138</v>
      </c>
    </row>
    <row r="137" spans="1:6" ht="15" x14ac:dyDescent="0.25">
      <c r="A137" s="234"/>
      <c r="B137" s="233" t="s">
        <v>704</v>
      </c>
      <c r="C137" s="231">
        <f>0.8*0.8*0.75</f>
        <v>0.48000000000000009</v>
      </c>
      <c r="D137" s="232" t="s">
        <v>6</v>
      </c>
      <c r="E137" s="231" t="e">
        <f>#REF!</f>
        <v>#REF!</v>
      </c>
      <c r="F137" s="616" t="e">
        <f>+C137*E137</f>
        <v>#REF!</v>
      </c>
    </row>
    <row r="138" spans="1:6" ht="15" x14ac:dyDescent="0.25">
      <c r="A138" s="234"/>
      <c r="B138" s="416" t="s">
        <v>488</v>
      </c>
      <c r="C138" s="147">
        <v>0.03</v>
      </c>
      <c r="D138" s="148" t="s">
        <v>26</v>
      </c>
      <c r="E138" s="147">
        <f>Hormigones!E209</f>
        <v>4733</v>
      </c>
      <c r="F138" s="149">
        <f>ROUND(E138*C138,2)</f>
        <v>141.99</v>
      </c>
    </row>
    <row r="139" spans="1:6" ht="15" x14ac:dyDescent="0.25">
      <c r="A139" s="234"/>
      <c r="B139" s="233" t="s">
        <v>716</v>
      </c>
      <c r="C139" s="231">
        <f>+(0.8*2+0.6*2)*0.6</f>
        <v>1.68</v>
      </c>
      <c r="D139" s="232" t="s">
        <v>5</v>
      </c>
      <c r="E139" s="231">
        <f>Hormigones!F280</f>
        <v>674.64346999999998</v>
      </c>
      <c r="F139" s="617">
        <f t="shared" ref="F139:F143" si="3">+C139*E139</f>
        <v>1133.4010295999999</v>
      </c>
    </row>
    <row r="140" spans="1:6" ht="15" x14ac:dyDescent="0.25">
      <c r="A140" s="234"/>
      <c r="B140" s="233" t="s">
        <v>705</v>
      </c>
      <c r="C140" s="231">
        <f>+C139</f>
        <v>1.68</v>
      </c>
      <c r="D140" s="232" t="s">
        <v>5</v>
      </c>
      <c r="E140" s="231">
        <f>'Terminacion de Superficie'!F46</f>
        <v>325.94559999999996</v>
      </c>
      <c r="F140" s="617">
        <f t="shared" si="3"/>
        <v>547.58860799999991</v>
      </c>
    </row>
    <row r="141" spans="1:6" ht="15" x14ac:dyDescent="0.25">
      <c r="A141" s="234"/>
      <c r="B141" s="233" t="s">
        <v>706</v>
      </c>
      <c r="C141" s="231">
        <v>1</v>
      </c>
      <c r="D141" s="232" t="s">
        <v>707</v>
      </c>
      <c r="E141" s="231">
        <v>100</v>
      </c>
      <c r="F141" s="616">
        <f t="shared" si="3"/>
        <v>100</v>
      </c>
    </row>
    <row r="142" spans="1:6" ht="15" x14ac:dyDescent="0.25">
      <c r="A142" s="234"/>
      <c r="B142" s="233" t="s">
        <v>708</v>
      </c>
      <c r="C142" s="231">
        <v>1</v>
      </c>
      <c r="D142" s="232" t="s">
        <v>126</v>
      </c>
      <c r="E142" s="231">
        <v>200</v>
      </c>
      <c r="F142" s="617">
        <f t="shared" si="3"/>
        <v>200</v>
      </c>
    </row>
    <row r="143" spans="1:6" ht="15.6" thickBot="1" x14ac:dyDescent="0.3">
      <c r="A143" s="234"/>
      <c r="B143" s="233" t="s">
        <v>709</v>
      </c>
      <c r="C143" s="231">
        <v>1</v>
      </c>
      <c r="D143" s="232" t="s">
        <v>635</v>
      </c>
      <c r="E143" s="231">
        <v>250</v>
      </c>
      <c r="F143" s="617">
        <f t="shared" si="3"/>
        <v>250</v>
      </c>
    </row>
    <row r="144" spans="1:6" ht="16.8" thickTop="1" thickBot="1" x14ac:dyDescent="0.35">
      <c r="A144" s="900" t="s">
        <v>637</v>
      </c>
      <c r="B144" s="901"/>
      <c r="C144" s="901"/>
      <c r="D144" s="901"/>
      <c r="E144" s="901"/>
      <c r="F144" s="628" t="e">
        <f>SUM(F137:F143)</f>
        <v>#REF!</v>
      </c>
    </row>
    <row r="145" spans="1:8" ht="13.8" thickTop="1" x14ac:dyDescent="0.25"/>
    <row r="146" spans="1:8" ht="16.2" thickBot="1" x14ac:dyDescent="0.3">
      <c r="A146" s="902" t="s">
        <v>721</v>
      </c>
      <c r="B146" s="902" t="s">
        <v>717</v>
      </c>
      <c r="C146" s="902"/>
      <c r="D146" s="902"/>
      <c r="E146" s="902"/>
      <c r="F146" s="902"/>
    </row>
    <row r="147" spans="1:8" ht="16.2" thickTop="1" x14ac:dyDescent="0.3">
      <c r="A147" s="610">
        <v>54</v>
      </c>
      <c r="B147" s="611" t="s">
        <v>30</v>
      </c>
      <c r="C147" s="612" t="s">
        <v>135</v>
      </c>
      <c r="D147" s="613" t="s">
        <v>136</v>
      </c>
      <c r="E147" s="614" t="s">
        <v>227</v>
      </c>
      <c r="F147" s="615" t="s">
        <v>138</v>
      </c>
    </row>
    <row r="148" spans="1:8" ht="15" x14ac:dyDescent="0.25">
      <c r="A148" s="234"/>
      <c r="B148" s="416" t="s">
        <v>718</v>
      </c>
      <c r="C148" s="147">
        <f>1.1*0.9*0.9</f>
        <v>0.89100000000000013</v>
      </c>
      <c r="D148" s="148" t="s">
        <v>6</v>
      </c>
      <c r="E148" s="147" t="e">
        <f>E137</f>
        <v>#REF!</v>
      </c>
      <c r="F148" s="149" t="e">
        <f>+E148*C148</f>
        <v>#REF!</v>
      </c>
    </row>
    <row r="149" spans="1:8" ht="15" x14ac:dyDescent="0.25">
      <c r="A149" s="234"/>
      <c r="B149" s="416" t="str">
        <f>+B138</f>
        <v>Hormigón  180 Kg/Cm2 a Mano</v>
      </c>
      <c r="C149" s="147">
        <f>0.8*0.6*0.1</f>
        <v>4.8000000000000001E-2</v>
      </c>
      <c r="D149" s="148" t="s">
        <v>6</v>
      </c>
      <c r="E149" s="147">
        <f>E138</f>
        <v>4733</v>
      </c>
      <c r="F149" s="149">
        <f>+E149*C149</f>
        <v>227.184</v>
      </c>
    </row>
    <row r="150" spans="1:8" ht="15" x14ac:dyDescent="0.25">
      <c r="A150" s="234"/>
      <c r="B150" s="416" t="s">
        <v>719</v>
      </c>
      <c r="C150" s="147">
        <f>+(0.6*1*4)</f>
        <v>2.4</v>
      </c>
      <c r="D150" s="148" t="s">
        <v>5</v>
      </c>
      <c r="E150" s="147">
        <f>Hormigones!F270</f>
        <v>828.93</v>
      </c>
      <c r="F150" s="149">
        <f>+E150*C150</f>
        <v>1989.4319999999998</v>
      </c>
    </row>
    <row r="151" spans="1:8" ht="15" x14ac:dyDescent="0.25">
      <c r="A151" s="234"/>
      <c r="B151" s="416" t="s">
        <v>720</v>
      </c>
      <c r="C151" s="147">
        <f>+C150</f>
        <v>2.4</v>
      </c>
      <c r="D151" s="148" t="str">
        <f>+D150</f>
        <v>M2</v>
      </c>
      <c r="E151" s="147">
        <f>'Terminacion de Superficie'!F105</f>
        <v>316.28859999999997</v>
      </c>
      <c r="F151" s="149">
        <f>+E151*C151</f>
        <v>759.09263999999996</v>
      </c>
    </row>
    <row r="152" spans="1:8" ht="15" x14ac:dyDescent="0.25">
      <c r="A152" s="234"/>
      <c r="B152" s="416" t="s">
        <v>708</v>
      </c>
      <c r="C152" s="147">
        <v>1</v>
      </c>
      <c r="D152" s="148" t="s">
        <v>126</v>
      </c>
      <c r="E152" s="147">
        <v>250</v>
      </c>
      <c r="F152" s="149">
        <f>+E152*C152</f>
        <v>250</v>
      </c>
    </row>
    <row r="153" spans="1:8" ht="15.6" thickBot="1" x14ac:dyDescent="0.3">
      <c r="A153" s="234"/>
      <c r="B153" s="416" t="s">
        <v>709</v>
      </c>
      <c r="C153" s="147">
        <v>1</v>
      </c>
      <c r="D153" s="148" t="s">
        <v>635</v>
      </c>
      <c r="E153" s="147">
        <v>550</v>
      </c>
      <c r="F153" s="149">
        <f>+C153*E153</f>
        <v>550</v>
      </c>
    </row>
    <row r="154" spans="1:8" ht="16.8" thickTop="1" thickBot="1" x14ac:dyDescent="0.35">
      <c r="A154" s="900" t="s">
        <v>637</v>
      </c>
      <c r="B154" s="901"/>
      <c r="C154" s="901"/>
      <c r="D154" s="901"/>
      <c r="E154" s="901"/>
      <c r="F154" s="628" t="e">
        <f>SUM(F148:F153)</f>
        <v>#REF!</v>
      </c>
    </row>
    <row r="155" spans="1:8" ht="13.8" thickTop="1" x14ac:dyDescent="0.25"/>
    <row r="156" spans="1:8" ht="16.2" thickBot="1" x14ac:dyDescent="0.3">
      <c r="A156" s="902" t="s">
        <v>722</v>
      </c>
      <c r="B156" s="902"/>
      <c r="C156" s="902"/>
      <c r="D156" s="902"/>
      <c r="E156" s="902"/>
      <c r="F156" s="902"/>
    </row>
    <row r="157" spans="1:8" ht="16.2" thickTop="1" x14ac:dyDescent="0.3">
      <c r="A157" s="610">
        <v>57</v>
      </c>
      <c r="B157" s="611" t="s">
        <v>30</v>
      </c>
      <c r="C157" s="612" t="s">
        <v>135</v>
      </c>
      <c r="D157" s="613" t="s">
        <v>136</v>
      </c>
      <c r="E157" s="614" t="s">
        <v>227</v>
      </c>
      <c r="F157" s="615" t="s">
        <v>138</v>
      </c>
    </row>
    <row r="158" spans="1:8" ht="15.6" x14ac:dyDescent="0.3">
      <c r="A158" s="679"/>
      <c r="B158" s="680" t="s">
        <v>704</v>
      </c>
      <c r="C158" s="678">
        <f>2.1*1.4*1.2*1.1</f>
        <v>3.8808000000000002</v>
      </c>
      <c r="D158" s="678" t="s">
        <v>6</v>
      </c>
      <c r="E158" s="678" t="e">
        <f>#REF!</f>
        <v>#REF!</v>
      </c>
      <c r="F158" s="678" t="e">
        <f t="shared" ref="F158:F178" si="4">ROUND(C158*E158,2)</f>
        <v>#REF!</v>
      </c>
      <c r="H158" s="221">
        <f>1.5*0.8*1</f>
        <v>1.2000000000000002</v>
      </c>
    </row>
    <row r="159" spans="1:8" ht="15.6" x14ac:dyDescent="0.3">
      <c r="A159" s="679"/>
      <c r="B159" s="680" t="s">
        <v>723</v>
      </c>
      <c r="C159" s="678">
        <f>+C158-(1.8*1.1*1.1)</f>
        <v>1.7027999999999999</v>
      </c>
      <c r="D159" s="678" t="s">
        <v>6</v>
      </c>
      <c r="E159" s="678" t="e">
        <f>#REF!</f>
        <v>#REF!</v>
      </c>
      <c r="F159" s="678" t="e">
        <f t="shared" si="4"/>
        <v>#REF!</v>
      </c>
      <c r="H159" s="221">
        <f>2.5*2.5*1</f>
        <v>6.25</v>
      </c>
    </row>
    <row r="160" spans="1:8" ht="15.6" x14ac:dyDescent="0.3">
      <c r="A160" s="679"/>
      <c r="B160" s="680" t="s">
        <v>724</v>
      </c>
      <c r="C160" s="678">
        <f>2.18*1.2</f>
        <v>2.6160000000000001</v>
      </c>
      <c r="D160" s="678" t="s">
        <v>725</v>
      </c>
      <c r="E160" s="678" t="e">
        <f>#REF!</f>
        <v>#REF!</v>
      </c>
      <c r="F160" s="678" t="e">
        <f t="shared" si="4"/>
        <v>#REF!</v>
      </c>
    </row>
    <row r="161" spans="1:6" ht="15.6" x14ac:dyDescent="0.3">
      <c r="A161" s="679"/>
      <c r="B161" s="681" t="s">
        <v>726</v>
      </c>
      <c r="C161" s="678"/>
      <c r="D161" s="678"/>
      <c r="E161" s="678"/>
      <c r="F161" s="678"/>
    </row>
    <row r="162" spans="1:6" ht="15.6" x14ac:dyDescent="0.3">
      <c r="A162" s="679"/>
      <c r="B162" s="680" t="s">
        <v>727</v>
      </c>
      <c r="C162" s="678">
        <v>2</v>
      </c>
      <c r="D162" s="678" t="s">
        <v>252</v>
      </c>
      <c r="E162" s="678">
        <f>Hormigones!F9</f>
        <v>244.42</v>
      </c>
      <c r="F162" s="678">
        <f t="shared" si="4"/>
        <v>488.84</v>
      </c>
    </row>
    <row r="163" spans="1:6" ht="15.6" x14ac:dyDescent="0.3">
      <c r="A163" s="679"/>
      <c r="B163" s="680" t="s">
        <v>728</v>
      </c>
      <c r="C163" s="678">
        <f>+(8*1.1+5*1.8)*1.25*0.01</f>
        <v>0.2225</v>
      </c>
      <c r="D163" s="678" t="s">
        <v>275</v>
      </c>
      <c r="E163" s="678">
        <v>1850</v>
      </c>
      <c r="F163" s="678">
        <f t="shared" si="4"/>
        <v>411.63</v>
      </c>
    </row>
    <row r="164" spans="1:6" ht="15.6" x14ac:dyDescent="0.3">
      <c r="A164" s="679"/>
      <c r="B164" s="680" t="s">
        <v>729</v>
      </c>
      <c r="C164" s="678">
        <v>0.1</v>
      </c>
      <c r="D164" s="678" t="s">
        <v>6</v>
      </c>
      <c r="E164" s="678">
        <f>Hormigones!E100</f>
        <v>850</v>
      </c>
      <c r="F164" s="678">
        <f t="shared" si="4"/>
        <v>85</v>
      </c>
    </row>
    <row r="165" spans="1:6" ht="15.6" x14ac:dyDescent="0.3">
      <c r="A165" s="679"/>
      <c r="B165" s="680" t="s">
        <v>730</v>
      </c>
      <c r="C165" s="678">
        <v>0.15</v>
      </c>
      <c r="D165" s="678" t="s">
        <v>6</v>
      </c>
      <c r="E165" s="678">
        <f>Hormigones!E91</f>
        <v>950</v>
      </c>
      <c r="F165" s="678">
        <f t="shared" si="4"/>
        <v>142.5</v>
      </c>
    </row>
    <row r="166" spans="1:6" ht="15.6" x14ac:dyDescent="0.3">
      <c r="A166" s="679"/>
      <c r="B166" s="680" t="s">
        <v>737</v>
      </c>
      <c r="C166" s="678">
        <v>1</v>
      </c>
      <c r="D166" s="678" t="s">
        <v>6</v>
      </c>
      <c r="E166" s="678">
        <f>Hormigones!F25</f>
        <v>1070</v>
      </c>
      <c r="F166" s="678">
        <f t="shared" si="4"/>
        <v>1070</v>
      </c>
    </row>
    <row r="167" spans="1:6" ht="15.6" x14ac:dyDescent="0.3">
      <c r="A167" s="679"/>
      <c r="B167" s="680" t="s">
        <v>449</v>
      </c>
      <c r="C167" s="678">
        <v>1</v>
      </c>
      <c r="D167" s="678" t="s">
        <v>107</v>
      </c>
      <c r="E167" s="678">
        <v>500</v>
      </c>
      <c r="F167" s="678">
        <f t="shared" si="4"/>
        <v>500</v>
      </c>
    </row>
    <row r="168" spans="1:6" ht="15.6" x14ac:dyDescent="0.3">
      <c r="A168" s="679"/>
      <c r="B168" s="681" t="s">
        <v>732</v>
      </c>
      <c r="C168" s="678"/>
      <c r="D168" s="678"/>
      <c r="E168" s="678"/>
      <c r="F168" s="678"/>
    </row>
    <row r="169" spans="1:6" ht="15.6" x14ac:dyDescent="0.3">
      <c r="A169" s="679"/>
      <c r="B169" s="680" t="s">
        <v>727</v>
      </c>
      <c r="C169" s="678">
        <v>2</v>
      </c>
      <c r="D169" s="678" t="s">
        <v>252</v>
      </c>
      <c r="E169" s="678">
        <f>E162</f>
        <v>244.42</v>
      </c>
      <c r="F169" s="678">
        <f t="shared" ref="F169:F175" si="5">ROUND(C169*E169,2)</f>
        <v>488.84</v>
      </c>
    </row>
    <row r="170" spans="1:6" ht="15.6" x14ac:dyDescent="0.3">
      <c r="A170" s="679"/>
      <c r="B170" s="680" t="s">
        <v>728</v>
      </c>
      <c r="C170" s="678">
        <f>+(8*1.1+5*1.8)*1.25*1.1*0.01</f>
        <v>0.24475000000000002</v>
      </c>
      <c r="D170" s="678" t="s">
        <v>275</v>
      </c>
      <c r="E170" s="678">
        <f>+E163</f>
        <v>1850</v>
      </c>
      <c r="F170" s="678">
        <f t="shared" si="5"/>
        <v>452.79</v>
      </c>
    </row>
    <row r="171" spans="1:6" ht="15.6" x14ac:dyDescent="0.3">
      <c r="A171" s="679"/>
      <c r="B171" s="680" t="s">
        <v>729</v>
      </c>
      <c r="C171" s="678">
        <v>0.1</v>
      </c>
      <c r="D171" s="678" t="s">
        <v>6</v>
      </c>
      <c r="E171" s="678">
        <f>+E164</f>
        <v>850</v>
      </c>
      <c r="F171" s="678">
        <f t="shared" si="5"/>
        <v>85</v>
      </c>
    </row>
    <row r="172" spans="1:6" ht="15.6" x14ac:dyDescent="0.3">
      <c r="A172" s="679"/>
      <c r="B172" s="680" t="s">
        <v>730</v>
      </c>
      <c r="C172" s="678">
        <v>0.15</v>
      </c>
      <c r="D172" s="678" t="s">
        <v>6</v>
      </c>
      <c r="E172" s="678">
        <f>+E165</f>
        <v>950</v>
      </c>
      <c r="F172" s="678">
        <f t="shared" si="5"/>
        <v>142.5</v>
      </c>
    </row>
    <row r="173" spans="1:6" ht="15.6" x14ac:dyDescent="0.3">
      <c r="A173" s="679"/>
      <c r="B173" s="680" t="s">
        <v>731</v>
      </c>
      <c r="C173" s="678">
        <v>1</v>
      </c>
      <c r="D173" s="678" t="s">
        <v>107</v>
      </c>
      <c r="E173" s="678">
        <f>E166</f>
        <v>1070</v>
      </c>
      <c r="F173" s="678">
        <f t="shared" si="5"/>
        <v>1070</v>
      </c>
    </row>
    <row r="174" spans="1:6" ht="15.6" x14ac:dyDescent="0.3">
      <c r="A174" s="679"/>
      <c r="B174" s="680" t="s">
        <v>449</v>
      </c>
      <c r="C174" s="678">
        <v>1</v>
      </c>
      <c r="D174" s="678" t="s">
        <v>107</v>
      </c>
      <c r="E174" s="678">
        <v>500</v>
      </c>
      <c r="F174" s="678">
        <f t="shared" si="5"/>
        <v>500</v>
      </c>
    </row>
    <row r="175" spans="1:6" ht="15.6" x14ac:dyDescent="0.3">
      <c r="A175" s="679"/>
      <c r="B175" s="680" t="s">
        <v>733</v>
      </c>
      <c r="C175" s="678">
        <v>1</v>
      </c>
      <c r="D175" s="678" t="s">
        <v>107</v>
      </c>
      <c r="E175" s="678">
        <v>1200</v>
      </c>
      <c r="F175" s="678">
        <f t="shared" si="5"/>
        <v>1200</v>
      </c>
    </row>
    <row r="176" spans="1:6" ht="15.6" x14ac:dyDescent="0.3">
      <c r="A176" s="679"/>
      <c r="B176" s="680" t="s">
        <v>734</v>
      </c>
      <c r="C176" s="678">
        <f>+(1.8*1*2+0.8*1*2)</f>
        <v>5.2</v>
      </c>
      <c r="D176" s="678" t="s">
        <v>5</v>
      </c>
      <c r="E176" s="678">
        <f>+'[28]ANALISIS  CIVIL'!F268</f>
        <v>151.64100784313723</v>
      </c>
      <c r="F176" s="678">
        <f t="shared" si="4"/>
        <v>788.53</v>
      </c>
    </row>
    <row r="177" spans="1:12" ht="15.6" x14ac:dyDescent="0.3">
      <c r="A177" s="679"/>
      <c r="B177" s="680" t="s">
        <v>735</v>
      </c>
      <c r="C177" s="678">
        <f>+C176</f>
        <v>5.2</v>
      </c>
      <c r="D177" s="678" t="s">
        <v>5</v>
      </c>
      <c r="E177" s="678">
        <f>+'[28]ANALISIS  CIVIL'!F293</f>
        <v>15</v>
      </c>
      <c r="F177" s="678">
        <f t="shared" si="4"/>
        <v>78</v>
      </c>
    </row>
    <row r="178" spans="1:12" ht="16.2" thickBot="1" x14ac:dyDescent="0.35">
      <c r="A178" s="679"/>
      <c r="B178" s="680" t="s">
        <v>736</v>
      </c>
      <c r="C178" s="678">
        <v>1</v>
      </c>
      <c r="D178" s="678" t="s">
        <v>189</v>
      </c>
      <c r="E178" s="678">
        <v>250</v>
      </c>
      <c r="F178" s="678">
        <f t="shared" si="4"/>
        <v>250</v>
      </c>
    </row>
    <row r="179" spans="1:12" ht="16.8" thickTop="1" thickBot="1" x14ac:dyDescent="0.35">
      <c r="A179" s="900" t="s">
        <v>637</v>
      </c>
      <c r="B179" s="901"/>
      <c r="C179" s="901"/>
      <c r="D179" s="901"/>
      <c r="E179" s="901"/>
      <c r="F179" s="628" t="e">
        <f>SUM(F158:F178)</f>
        <v>#REF!</v>
      </c>
    </row>
    <row r="180" spans="1:12" ht="14.4" thickTop="1" thickBot="1" x14ac:dyDescent="0.3"/>
    <row r="181" spans="1:12" ht="16.2" thickTop="1" x14ac:dyDescent="0.3">
      <c r="A181" s="682"/>
      <c r="B181" s="683" t="s">
        <v>759</v>
      </c>
      <c r="C181" s="684"/>
      <c r="D181" s="685"/>
      <c r="E181" s="686"/>
      <c r="F181" s="687"/>
    </row>
    <row r="182" spans="1:12" ht="16.2" thickBot="1" x14ac:dyDescent="0.35">
      <c r="A182" s="688" t="s">
        <v>29</v>
      </c>
      <c r="B182" s="689" t="s">
        <v>30</v>
      </c>
      <c r="C182" s="690" t="s">
        <v>2</v>
      </c>
      <c r="D182" s="691" t="s">
        <v>1</v>
      </c>
      <c r="E182" s="692" t="s">
        <v>3</v>
      </c>
      <c r="F182" s="693" t="s">
        <v>31</v>
      </c>
    </row>
    <row r="183" spans="1:12" ht="15.6" thickTop="1" x14ac:dyDescent="0.25">
      <c r="A183" s="694" t="s">
        <v>32</v>
      </c>
      <c r="B183" s="695" t="s">
        <v>760</v>
      </c>
      <c r="C183" s="696">
        <v>1</v>
      </c>
      <c r="D183" s="697" t="s">
        <v>108</v>
      </c>
      <c r="E183" s="698">
        <v>800</v>
      </c>
      <c r="F183" s="699">
        <f>SUM(C183*E183)</f>
        <v>800</v>
      </c>
    </row>
    <row r="184" spans="1:12" ht="15" x14ac:dyDescent="0.25">
      <c r="A184" s="700" t="s">
        <v>35</v>
      </c>
      <c r="B184" s="701" t="s">
        <v>636</v>
      </c>
      <c r="C184" s="702">
        <v>1</v>
      </c>
      <c r="D184" s="417" t="s">
        <v>108</v>
      </c>
      <c r="E184" s="703">
        <v>650</v>
      </c>
      <c r="F184" s="704">
        <f>SUM(C184*E184)</f>
        <v>650</v>
      </c>
    </row>
    <row r="185" spans="1:12" ht="15" x14ac:dyDescent="0.25">
      <c r="A185" s="700" t="s">
        <v>38</v>
      </c>
      <c r="B185" s="705" t="s">
        <v>621</v>
      </c>
      <c r="C185" s="702">
        <v>1</v>
      </c>
      <c r="D185" s="417" t="s">
        <v>108</v>
      </c>
      <c r="E185" s="703">
        <v>500</v>
      </c>
      <c r="F185" s="704">
        <f>SUM(C185*E185)</f>
        <v>500</v>
      </c>
    </row>
    <row r="186" spans="1:12" ht="15" x14ac:dyDescent="0.25">
      <c r="A186" s="700" t="s">
        <v>39</v>
      </c>
      <c r="B186" s="705" t="s">
        <v>761</v>
      </c>
      <c r="C186" s="702">
        <v>1</v>
      </c>
      <c r="D186" s="417" t="s">
        <v>108</v>
      </c>
      <c r="E186" s="703">
        <v>500</v>
      </c>
      <c r="F186" s="704">
        <f>SUM(C186*E186)</f>
        <v>500</v>
      </c>
      <c r="L186" s="221">
        <f>300/6</f>
        <v>50</v>
      </c>
    </row>
    <row r="187" spans="1:12" ht="15" x14ac:dyDescent="0.25">
      <c r="A187" s="700" t="s">
        <v>41</v>
      </c>
      <c r="B187" s="705" t="s">
        <v>762</v>
      </c>
      <c r="C187" s="702"/>
      <c r="D187" s="148"/>
      <c r="E187" s="703"/>
      <c r="F187" s="706"/>
    </row>
    <row r="188" spans="1:12" ht="15" x14ac:dyDescent="0.25">
      <c r="A188" s="700" t="s">
        <v>23</v>
      </c>
      <c r="B188" s="705"/>
      <c r="C188" s="702"/>
      <c r="D188" s="148"/>
      <c r="E188" s="703"/>
      <c r="F188" s="706"/>
    </row>
    <row r="189" spans="1:12" ht="15" x14ac:dyDescent="0.25">
      <c r="A189" s="700" t="s">
        <v>23</v>
      </c>
      <c r="B189" s="707" t="s">
        <v>4</v>
      </c>
      <c r="C189" s="702">
        <v>300</v>
      </c>
      <c r="D189" s="148" t="s">
        <v>763</v>
      </c>
      <c r="E189" s="703">
        <f>SUM(F183:F186)</f>
        <v>2450</v>
      </c>
      <c r="F189" s="706">
        <f>E189/C189</f>
        <v>8.1666666666666661</v>
      </c>
    </row>
    <row r="190" spans="1:12" ht="15" x14ac:dyDescent="0.25">
      <c r="A190" s="700"/>
      <c r="B190" s="707"/>
      <c r="C190" s="702"/>
      <c r="D190" s="148"/>
      <c r="E190" s="703"/>
      <c r="F190" s="708"/>
    </row>
    <row r="191" spans="1:12" ht="15" x14ac:dyDescent="0.25">
      <c r="A191" s="709"/>
      <c r="B191" s="705" t="s">
        <v>764</v>
      </c>
      <c r="C191" s="710">
        <v>0.02</v>
      </c>
      <c r="D191" s="148"/>
      <c r="E191" s="703">
        <f>F189</f>
        <v>8.1666666666666661</v>
      </c>
      <c r="F191" s="708">
        <f>E191*C191</f>
        <v>0.16333333333333333</v>
      </c>
    </row>
    <row r="192" spans="1:12" ht="15.6" thickBot="1" x14ac:dyDescent="0.3">
      <c r="A192" s="711"/>
      <c r="B192" s="712"/>
      <c r="C192" s="713"/>
      <c r="D192" s="714"/>
      <c r="E192" s="715"/>
      <c r="F192" s="716"/>
    </row>
    <row r="193" spans="1:6" ht="16.8" thickTop="1" thickBot="1" x14ac:dyDescent="0.35">
      <c r="A193" s="32"/>
      <c r="B193" s="33" t="s">
        <v>527</v>
      </c>
      <c r="C193" s="34"/>
      <c r="D193" s="35"/>
      <c r="E193" s="36"/>
      <c r="F193" s="37">
        <f>F191+F189</f>
        <v>8.33</v>
      </c>
    </row>
    <row r="194" spans="1:6" ht="13.8" thickTop="1" x14ac:dyDescent="0.25"/>
  </sheetData>
  <mergeCells count="11">
    <mergeCell ref="B61:F61"/>
    <mergeCell ref="B93:F93"/>
    <mergeCell ref="B102:F102"/>
    <mergeCell ref="B110:F110"/>
    <mergeCell ref="B126:F126"/>
    <mergeCell ref="A179:E179"/>
    <mergeCell ref="A146:F146"/>
    <mergeCell ref="A154:E154"/>
    <mergeCell ref="A156:F156"/>
    <mergeCell ref="A135:F135"/>
    <mergeCell ref="A144:E14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2:F80"/>
  <sheetViews>
    <sheetView view="pageBreakPreview" topLeftCell="A46" zoomScale="90" zoomScaleNormal="75" zoomScaleSheetLayoutView="90" workbookViewId="0">
      <selection activeCell="G61" sqref="G61"/>
    </sheetView>
  </sheetViews>
  <sheetFormatPr baseColWidth="10" defaultRowHeight="19.8" x14ac:dyDescent="0.45"/>
  <cols>
    <col min="1" max="1" width="6.109375" style="666" bestFit="1" customWidth="1"/>
    <col min="2" max="2" width="40.6640625" style="667" customWidth="1"/>
    <col min="3" max="3" width="15" style="668" customWidth="1"/>
    <col min="4" max="4" width="10.6640625" style="667" customWidth="1"/>
    <col min="5" max="5" width="14.5546875" style="667" customWidth="1"/>
    <col min="6" max="6" width="17.109375" style="669" customWidth="1"/>
    <col min="7" max="7" width="11.44140625" style="655"/>
    <col min="8" max="8" width="17.44140625" style="655" bestFit="1" customWidth="1"/>
    <col min="9" max="256" width="11.44140625" style="655"/>
    <col min="257" max="257" width="10.88671875" style="655" customWidth="1"/>
    <col min="258" max="258" width="40.6640625" style="655" customWidth="1"/>
    <col min="259" max="259" width="15" style="655" customWidth="1"/>
    <col min="260" max="260" width="10.6640625" style="655" customWidth="1"/>
    <col min="261" max="261" width="14.5546875" style="655" customWidth="1"/>
    <col min="262" max="262" width="17.109375" style="655" customWidth="1"/>
    <col min="263" max="263" width="11.44140625" style="655"/>
    <col min="264" max="264" width="17.44140625" style="655" bestFit="1" customWidth="1"/>
    <col min="265" max="512" width="11.44140625" style="655"/>
    <col min="513" max="513" width="10.88671875" style="655" customWidth="1"/>
    <col min="514" max="514" width="40.6640625" style="655" customWidth="1"/>
    <col min="515" max="515" width="15" style="655" customWidth="1"/>
    <col min="516" max="516" width="10.6640625" style="655" customWidth="1"/>
    <col min="517" max="517" width="14.5546875" style="655" customWidth="1"/>
    <col min="518" max="518" width="17.109375" style="655" customWidth="1"/>
    <col min="519" max="519" width="11.44140625" style="655"/>
    <col min="520" max="520" width="17.44140625" style="655" bestFit="1" customWidth="1"/>
    <col min="521" max="768" width="11.44140625" style="655"/>
    <col min="769" max="769" width="10.88671875" style="655" customWidth="1"/>
    <col min="770" max="770" width="40.6640625" style="655" customWidth="1"/>
    <col min="771" max="771" width="15" style="655" customWidth="1"/>
    <col min="772" max="772" width="10.6640625" style="655" customWidth="1"/>
    <col min="773" max="773" width="14.5546875" style="655" customWidth="1"/>
    <col min="774" max="774" width="17.109375" style="655" customWidth="1"/>
    <col min="775" max="775" width="11.44140625" style="655"/>
    <col min="776" max="776" width="17.44140625" style="655" bestFit="1" customWidth="1"/>
    <col min="777" max="1024" width="11.44140625" style="655"/>
    <col min="1025" max="1025" width="10.88671875" style="655" customWidth="1"/>
    <col min="1026" max="1026" width="40.6640625" style="655" customWidth="1"/>
    <col min="1027" max="1027" width="15" style="655" customWidth="1"/>
    <col min="1028" max="1028" width="10.6640625" style="655" customWidth="1"/>
    <col min="1029" max="1029" width="14.5546875" style="655" customWidth="1"/>
    <col min="1030" max="1030" width="17.109375" style="655" customWidth="1"/>
    <col min="1031" max="1031" width="11.44140625" style="655"/>
    <col min="1032" max="1032" width="17.44140625" style="655" bestFit="1" customWidth="1"/>
    <col min="1033" max="1280" width="11.44140625" style="655"/>
    <col min="1281" max="1281" width="10.88671875" style="655" customWidth="1"/>
    <col min="1282" max="1282" width="40.6640625" style="655" customWidth="1"/>
    <col min="1283" max="1283" width="15" style="655" customWidth="1"/>
    <col min="1284" max="1284" width="10.6640625" style="655" customWidth="1"/>
    <col min="1285" max="1285" width="14.5546875" style="655" customWidth="1"/>
    <col min="1286" max="1286" width="17.109375" style="655" customWidth="1"/>
    <col min="1287" max="1287" width="11.44140625" style="655"/>
    <col min="1288" max="1288" width="17.44140625" style="655" bestFit="1" customWidth="1"/>
    <col min="1289" max="1536" width="11.44140625" style="655"/>
    <col min="1537" max="1537" width="10.88671875" style="655" customWidth="1"/>
    <col min="1538" max="1538" width="40.6640625" style="655" customWidth="1"/>
    <col min="1539" max="1539" width="15" style="655" customWidth="1"/>
    <col min="1540" max="1540" width="10.6640625" style="655" customWidth="1"/>
    <col min="1541" max="1541" width="14.5546875" style="655" customWidth="1"/>
    <col min="1542" max="1542" width="17.109375" style="655" customWidth="1"/>
    <col min="1543" max="1543" width="11.44140625" style="655"/>
    <col min="1544" max="1544" width="17.44140625" style="655" bestFit="1" customWidth="1"/>
    <col min="1545" max="1792" width="11.44140625" style="655"/>
    <col min="1793" max="1793" width="10.88671875" style="655" customWidth="1"/>
    <col min="1794" max="1794" width="40.6640625" style="655" customWidth="1"/>
    <col min="1795" max="1795" width="15" style="655" customWidth="1"/>
    <col min="1796" max="1796" width="10.6640625" style="655" customWidth="1"/>
    <col min="1797" max="1797" width="14.5546875" style="655" customWidth="1"/>
    <col min="1798" max="1798" width="17.109375" style="655" customWidth="1"/>
    <col min="1799" max="1799" width="11.44140625" style="655"/>
    <col min="1800" max="1800" width="17.44140625" style="655" bestFit="1" customWidth="1"/>
    <col min="1801" max="2048" width="11.44140625" style="655"/>
    <col min="2049" max="2049" width="10.88671875" style="655" customWidth="1"/>
    <col min="2050" max="2050" width="40.6640625" style="655" customWidth="1"/>
    <col min="2051" max="2051" width="15" style="655" customWidth="1"/>
    <col min="2052" max="2052" width="10.6640625" style="655" customWidth="1"/>
    <col min="2053" max="2053" width="14.5546875" style="655" customWidth="1"/>
    <col min="2054" max="2054" width="17.109375" style="655" customWidth="1"/>
    <col min="2055" max="2055" width="11.44140625" style="655"/>
    <col min="2056" max="2056" width="17.44140625" style="655" bestFit="1" customWidth="1"/>
    <col min="2057" max="2304" width="11.44140625" style="655"/>
    <col min="2305" max="2305" width="10.88671875" style="655" customWidth="1"/>
    <col min="2306" max="2306" width="40.6640625" style="655" customWidth="1"/>
    <col min="2307" max="2307" width="15" style="655" customWidth="1"/>
    <col min="2308" max="2308" width="10.6640625" style="655" customWidth="1"/>
    <col min="2309" max="2309" width="14.5546875" style="655" customWidth="1"/>
    <col min="2310" max="2310" width="17.109375" style="655" customWidth="1"/>
    <col min="2311" max="2311" width="11.44140625" style="655"/>
    <col min="2312" max="2312" width="17.44140625" style="655" bestFit="1" customWidth="1"/>
    <col min="2313" max="2560" width="11.44140625" style="655"/>
    <col min="2561" max="2561" width="10.88671875" style="655" customWidth="1"/>
    <col min="2562" max="2562" width="40.6640625" style="655" customWidth="1"/>
    <col min="2563" max="2563" width="15" style="655" customWidth="1"/>
    <col min="2564" max="2564" width="10.6640625" style="655" customWidth="1"/>
    <col min="2565" max="2565" width="14.5546875" style="655" customWidth="1"/>
    <col min="2566" max="2566" width="17.109375" style="655" customWidth="1"/>
    <col min="2567" max="2567" width="11.44140625" style="655"/>
    <col min="2568" max="2568" width="17.44140625" style="655" bestFit="1" customWidth="1"/>
    <col min="2569" max="2816" width="11.44140625" style="655"/>
    <col min="2817" max="2817" width="10.88671875" style="655" customWidth="1"/>
    <col min="2818" max="2818" width="40.6640625" style="655" customWidth="1"/>
    <col min="2819" max="2819" width="15" style="655" customWidth="1"/>
    <col min="2820" max="2820" width="10.6640625" style="655" customWidth="1"/>
    <col min="2821" max="2821" width="14.5546875" style="655" customWidth="1"/>
    <col min="2822" max="2822" width="17.109375" style="655" customWidth="1"/>
    <col min="2823" max="2823" width="11.44140625" style="655"/>
    <col min="2824" max="2824" width="17.44140625" style="655" bestFit="1" customWidth="1"/>
    <col min="2825" max="3072" width="11.44140625" style="655"/>
    <col min="3073" max="3073" width="10.88671875" style="655" customWidth="1"/>
    <col min="3074" max="3074" width="40.6640625" style="655" customWidth="1"/>
    <col min="3075" max="3075" width="15" style="655" customWidth="1"/>
    <col min="3076" max="3076" width="10.6640625" style="655" customWidth="1"/>
    <col min="3077" max="3077" width="14.5546875" style="655" customWidth="1"/>
    <col min="3078" max="3078" width="17.109375" style="655" customWidth="1"/>
    <col min="3079" max="3079" width="11.44140625" style="655"/>
    <col min="3080" max="3080" width="17.44140625" style="655" bestFit="1" customWidth="1"/>
    <col min="3081" max="3328" width="11.44140625" style="655"/>
    <col min="3329" max="3329" width="10.88671875" style="655" customWidth="1"/>
    <col min="3330" max="3330" width="40.6640625" style="655" customWidth="1"/>
    <col min="3331" max="3331" width="15" style="655" customWidth="1"/>
    <col min="3332" max="3332" width="10.6640625" style="655" customWidth="1"/>
    <col min="3333" max="3333" width="14.5546875" style="655" customWidth="1"/>
    <col min="3334" max="3334" width="17.109375" style="655" customWidth="1"/>
    <col min="3335" max="3335" width="11.44140625" style="655"/>
    <col min="3336" max="3336" width="17.44140625" style="655" bestFit="1" customWidth="1"/>
    <col min="3337" max="3584" width="11.44140625" style="655"/>
    <col min="3585" max="3585" width="10.88671875" style="655" customWidth="1"/>
    <col min="3586" max="3586" width="40.6640625" style="655" customWidth="1"/>
    <col min="3587" max="3587" width="15" style="655" customWidth="1"/>
    <col min="3588" max="3588" width="10.6640625" style="655" customWidth="1"/>
    <col min="3589" max="3589" width="14.5546875" style="655" customWidth="1"/>
    <col min="3590" max="3590" width="17.109375" style="655" customWidth="1"/>
    <col min="3591" max="3591" width="11.44140625" style="655"/>
    <col min="3592" max="3592" width="17.44140625" style="655" bestFit="1" customWidth="1"/>
    <col min="3593" max="3840" width="11.44140625" style="655"/>
    <col min="3841" max="3841" width="10.88671875" style="655" customWidth="1"/>
    <col min="3842" max="3842" width="40.6640625" style="655" customWidth="1"/>
    <col min="3843" max="3843" width="15" style="655" customWidth="1"/>
    <col min="3844" max="3844" width="10.6640625" style="655" customWidth="1"/>
    <col min="3845" max="3845" width="14.5546875" style="655" customWidth="1"/>
    <col min="3846" max="3846" width="17.109375" style="655" customWidth="1"/>
    <col min="3847" max="3847" width="11.44140625" style="655"/>
    <col min="3848" max="3848" width="17.44140625" style="655" bestFit="1" customWidth="1"/>
    <col min="3849" max="4096" width="11.44140625" style="655"/>
    <col min="4097" max="4097" width="10.88671875" style="655" customWidth="1"/>
    <col min="4098" max="4098" width="40.6640625" style="655" customWidth="1"/>
    <col min="4099" max="4099" width="15" style="655" customWidth="1"/>
    <col min="4100" max="4100" width="10.6640625" style="655" customWidth="1"/>
    <col min="4101" max="4101" width="14.5546875" style="655" customWidth="1"/>
    <col min="4102" max="4102" width="17.109375" style="655" customWidth="1"/>
    <col min="4103" max="4103" width="11.44140625" style="655"/>
    <col min="4104" max="4104" width="17.44140625" style="655" bestFit="1" customWidth="1"/>
    <col min="4105" max="4352" width="11.44140625" style="655"/>
    <col min="4353" max="4353" width="10.88671875" style="655" customWidth="1"/>
    <col min="4354" max="4354" width="40.6640625" style="655" customWidth="1"/>
    <col min="4355" max="4355" width="15" style="655" customWidth="1"/>
    <col min="4356" max="4356" width="10.6640625" style="655" customWidth="1"/>
    <col min="4357" max="4357" width="14.5546875" style="655" customWidth="1"/>
    <col min="4358" max="4358" width="17.109375" style="655" customWidth="1"/>
    <col min="4359" max="4359" width="11.44140625" style="655"/>
    <col min="4360" max="4360" width="17.44140625" style="655" bestFit="1" customWidth="1"/>
    <col min="4361" max="4608" width="11.44140625" style="655"/>
    <col min="4609" max="4609" width="10.88671875" style="655" customWidth="1"/>
    <col min="4610" max="4610" width="40.6640625" style="655" customWidth="1"/>
    <col min="4611" max="4611" width="15" style="655" customWidth="1"/>
    <col min="4612" max="4612" width="10.6640625" style="655" customWidth="1"/>
    <col min="4613" max="4613" width="14.5546875" style="655" customWidth="1"/>
    <col min="4614" max="4614" width="17.109375" style="655" customWidth="1"/>
    <col min="4615" max="4615" width="11.44140625" style="655"/>
    <col min="4616" max="4616" width="17.44140625" style="655" bestFit="1" customWidth="1"/>
    <col min="4617" max="4864" width="11.44140625" style="655"/>
    <col min="4865" max="4865" width="10.88671875" style="655" customWidth="1"/>
    <col min="4866" max="4866" width="40.6640625" style="655" customWidth="1"/>
    <col min="4867" max="4867" width="15" style="655" customWidth="1"/>
    <col min="4868" max="4868" width="10.6640625" style="655" customWidth="1"/>
    <col min="4869" max="4869" width="14.5546875" style="655" customWidth="1"/>
    <col min="4870" max="4870" width="17.109375" style="655" customWidth="1"/>
    <col min="4871" max="4871" width="11.44140625" style="655"/>
    <col min="4872" max="4872" width="17.44140625" style="655" bestFit="1" customWidth="1"/>
    <col min="4873" max="5120" width="11.44140625" style="655"/>
    <col min="5121" max="5121" width="10.88671875" style="655" customWidth="1"/>
    <col min="5122" max="5122" width="40.6640625" style="655" customWidth="1"/>
    <col min="5123" max="5123" width="15" style="655" customWidth="1"/>
    <col min="5124" max="5124" width="10.6640625" style="655" customWidth="1"/>
    <col min="5125" max="5125" width="14.5546875" style="655" customWidth="1"/>
    <col min="5126" max="5126" width="17.109375" style="655" customWidth="1"/>
    <col min="5127" max="5127" width="11.44140625" style="655"/>
    <col min="5128" max="5128" width="17.44140625" style="655" bestFit="1" customWidth="1"/>
    <col min="5129" max="5376" width="11.44140625" style="655"/>
    <col min="5377" max="5377" width="10.88671875" style="655" customWidth="1"/>
    <col min="5378" max="5378" width="40.6640625" style="655" customWidth="1"/>
    <col min="5379" max="5379" width="15" style="655" customWidth="1"/>
    <col min="5380" max="5380" width="10.6640625" style="655" customWidth="1"/>
    <col min="5381" max="5381" width="14.5546875" style="655" customWidth="1"/>
    <col min="5382" max="5382" width="17.109375" style="655" customWidth="1"/>
    <col min="5383" max="5383" width="11.44140625" style="655"/>
    <col min="5384" max="5384" width="17.44140625" style="655" bestFit="1" customWidth="1"/>
    <col min="5385" max="5632" width="11.44140625" style="655"/>
    <col min="5633" max="5633" width="10.88671875" style="655" customWidth="1"/>
    <col min="5634" max="5634" width="40.6640625" style="655" customWidth="1"/>
    <col min="5635" max="5635" width="15" style="655" customWidth="1"/>
    <col min="5636" max="5636" width="10.6640625" style="655" customWidth="1"/>
    <col min="5637" max="5637" width="14.5546875" style="655" customWidth="1"/>
    <col min="5638" max="5638" width="17.109375" style="655" customWidth="1"/>
    <col min="5639" max="5639" width="11.44140625" style="655"/>
    <col min="5640" max="5640" width="17.44140625" style="655" bestFit="1" customWidth="1"/>
    <col min="5641" max="5888" width="11.44140625" style="655"/>
    <col min="5889" max="5889" width="10.88671875" style="655" customWidth="1"/>
    <col min="5890" max="5890" width="40.6640625" style="655" customWidth="1"/>
    <col min="5891" max="5891" width="15" style="655" customWidth="1"/>
    <col min="5892" max="5892" width="10.6640625" style="655" customWidth="1"/>
    <col min="5893" max="5893" width="14.5546875" style="655" customWidth="1"/>
    <col min="5894" max="5894" width="17.109375" style="655" customWidth="1"/>
    <col min="5895" max="5895" width="11.44140625" style="655"/>
    <col min="5896" max="5896" width="17.44140625" style="655" bestFit="1" customWidth="1"/>
    <col min="5897" max="6144" width="11.44140625" style="655"/>
    <col min="6145" max="6145" width="10.88671875" style="655" customWidth="1"/>
    <col min="6146" max="6146" width="40.6640625" style="655" customWidth="1"/>
    <col min="6147" max="6147" width="15" style="655" customWidth="1"/>
    <col min="6148" max="6148" width="10.6640625" style="655" customWidth="1"/>
    <col min="6149" max="6149" width="14.5546875" style="655" customWidth="1"/>
    <col min="6150" max="6150" width="17.109375" style="655" customWidth="1"/>
    <col min="6151" max="6151" width="11.44140625" style="655"/>
    <col min="6152" max="6152" width="17.44140625" style="655" bestFit="1" customWidth="1"/>
    <col min="6153" max="6400" width="11.44140625" style="655"/>
    <col min="6401" max="6401" width="10.88671875" style="655" customWidth="1"/>
    <col min="6402" max="6402" width="40.6640625" style="655" customWidth="1"/>
    <col min="6403" max="6403" width="15" style="655" customWidth="1"/>
    <col min="6404" max="6404" width="10.6640625" style="655" customWidth="1"/>
    <col min="6405" max="6405" width="14.5546875" style="655" customWidth="1"/>
    <col min="6406" max="6406" width="17.109375" style="655" customWidth="1"/>
    <col min="6407" max="6407" width="11.44140625" style="655"/>
    <col min="6408" max="6408" width="17.44140625" style="655" bestFit="1" customWidth="1"/>
    <col min="6409" max="6656" width="11.44140625" style="655"/>
    <col min="6657" max="6657" width="10.88671875" style="655" customWidth="1"/>
    <col min="6658" max="6658" width="40.6640625" style="655" customWidth="1"/>
    <col min="6659" max="6659" width="15" style="655" customWidth="1"/>
    <col min="6660" max="6660" width="10.6640625" style="655" customWidth="1"/>
    <col min="6661" max="6661" width="14.5546875" style="655" customWidth="1"/>
    <col min="6662" max="6662" width="17.109375" style="655" customWidth="1"/>
    <col min="6663" max="6663" width="11.44140625" style="655"/>
    <col min="6664" max="6664" width="17.44140625" style="655" bestFit="1" customWidth="1"/>
    <col min="6665" max="6912" width="11.44140625" style="655"/>
    <col min="6913" max="6913" width="10.88671875" style="655" customWidth="1"/>
    <col min="6914" max="6914" width="40.6640625" style="655" customWidth="1"/>
    <col min="6915" max="6915" width="15" style="655" customWidth="1"/>
    <col min="6916" max="6916" width="10.6640625" style="655" customWidth="1"/>
    <col min="6917" max="6917" width="14.5546875" style="655" customWidth="1"/>
    <col min="6918" max="6918" width="17.109375" style="655" customWidth="1"/>
    <col min="6919" max="6919" width="11.44140625" style="655"/>
    <col min="6920" max="6920" width="17.44140625" style="655" bestFit="1" customWidth="1"/>
    <col min="6921" max="7168" width="11.44140625" style="655"/>
    <col min="7169" max="7169" width="10.88671875" style="655" customWidth="1"/>
    <col min="7170" max="7170" width="40.6640625" style="655" customWidth="1"/>
    <col min="7171" max="7171" width="15" style="655" customWidth="1"/>
    <col min="7172" max="7172" width="10.6640625" style="655" customWidth="1"/>
    <col min="7173" max="7173" width="14.5546875" style="655" customWidth="1"/>
    <col min="7174" max="7174" width="17.109375" style="655" customWidth="1"/>
    <col min="7175" max="7175" width="11.44140625" style="655"/>
    <col min="7176" max="7176" width="17.44140625" style="655" bestFit="1" customWidth="1"/>
    <col min="7177" max="7424" width="11.44140625" style="655"/>
    <col min="7425" max="7425" width="10.88671875" style="655" customWidth="1"/>
    <col min="7426" max="7426" width="40.6640625" style="655" customWidth="1"/>
    <col min="7427" max="7427" width="15" style="655" customWidth="1"/>
    <col min="7428" max="7428" width="10.6640625" style="655" customWidth="1"/>
    <col min="7429" max="7429" width="14.5546875" style="655" customWidth="1"/>
    <col min="7430" max="7430" width="17.109375" style="655" customWidth="1"/>
    <col min="7431" max="7431" width="11.44140625" style="655"/>
    <col min="7432" max="7432" width="17.44140625" style="655" bestFit="1" customWidth="1"/>
    <col min="7433" max="7680" width="11.44140625" style="655"/>
    <col min="7681" max="7681" width="10.88671875" style="655" customWidth="1"/>
    <col min="7682" max="7682" width="40.6640625" style="655" customWidth="1"/>
    <col min="7683" max="7683" width="15" style="655" customWidth="1"/>
    <col min="7684" max="7684" width="10.6640625" style="655" customWidth="1"/>
    <col min="7685" max="7685" width="14.5546875" style="655" customWidth="1"/>
    <col min="7686" max="7686" width="17.109375" style="655" customWidth="1"/>
    <col min="7687" max="7687" width="11.44140625" style="655"/>
    <col min="7688" max="7688" width="17.44140625" style="655" bestFit="1" customWidth="1"/>
    <col min="7689" max="7936" width="11.44140625" style="655"/>
    <col min="7937" max="7937" width="10.88671875" style="655" customWidth="1"/>
    <col min="7938" max="7938" width="40.6640625" style="655" customWidth="1"/>
    <col min="7939" max="7939" width="15" style="655" customWidth="1"/>
    <col min="7940" max="7940" width="10.6640625" style="655" customWidth="1"/>
    <col min="7941" max="7941" width="14.5546875" style="655" customWidth="1"/>
    <col min="7942" max="7942" width="17.109375" style="655" customWidth="1"/>
    <col min="7943" max="7943" width="11.44140625" style="655"/>
    <col min="7944" max="7944" width="17.44140625" style="655" bestFit="1" customWidth="1"/>
    <col min="7945" max="8192" width="11.44140625" style="655"/>
    <col min="8193" max="8193" width="10.88671875" style="655" customWidth="1"/>
    <col min="8194" max="8194" width="40.6640625" style="655" customWidth="1"/>
    <col min="8195" max="8195" width="15" style="655" customWidth="1"/>
    <col min="8196" max="8196" width="10.6640625" style="655" customWidth="1"/>
    <col min="8197" max="8197" width="14.5546875" style="655" customWidth="1"/>
    <col min="8198" max="8198" width="17.109375" style="655" customWidth="1"/>
    <col min="8199" max="8199" width="11.44140625" style="655"/>
    <col min="8200" max="8200" width="17.44140625" style="655" bestFit="1" customWidth="1"/>
    <col min="8201" max="8448" width="11.44140625" style="655"/>
    <col min="8449" max="8449" width="10.88671875" style="655" customWidth="1"/>
    <col min="8450" max="8450" width="40.6640625" style="655" customWidth="1"/>
    <col min="8451" max="8451" width="15" style="655" customWidth="1"/>
    <col min="8452" max="8452" width="10.6640625" style="655" customWidth="1"/>
    <col min="8453" max="8453" width="14.5546875" style="655" customWidth="1"/>
    <col min="8454" max="8454" width="17.109375" style="655" customWidth="1"/>
    <col min="8455" max="8455" width="11.44140625" style="655"/>
    <col min="8456" max="8456" width="17.44140625" style="655" bestFit="1" customWidth="1"/>
    <col min="8457" max="8704" width="11.44140625" style="655"/>
    <col min="8705" max="8705" width="10.88671875" style="655" customWidth="1"/>
    <col min="8706" max="8706" width="40.6640625" style="655" customWidth="1"/>
    <col min="8707" max="8707" width="15" style="655" customWidth="1"/>
    <col min="8708" max="8708" width="10.6640625" style="655" customWidth="1"/>
    <col min="8709" max="8709" width="14.5546875" style="655" customWidth="1"/>
    <col min="8710" max="8710" width="17.109375" style="655" customWidth="1"/>
    <col min="8711" max="8711" width="11.44140625" style="655"/>
    <col min="8712" max="8712" width="17.44140625" style="655" bestFit="1" customWidth="1"/>
    <col min="8713" max="8960" width="11.44140625" style="655"/>
    <col min="8961" max="8961" width="10.88671875" style="655" customWidth="1"/>
    <col min="8962" max="8962" width="40.6640625" style="655" customWidth="1"/>
    <col min="8963" max="8963" width="15" style="655" customWidth="1"/>
    <col min="8964" max="8964" width="10.6640625" style="655" customWidth="1"/>
    <col min="8965" max="8965" width="14.5546875" style="655" customWidth="1"/>
    <col min="8966" max="8966" width="17.109375" style="655" customWidth="1"/>
    <col min="8967" max="8967" width="11.44140625" style="655"/>
    <col min="8968" max="8968" width="17.44140625" style="655" bestFit="1" customWidth="1"/>
    <col min="8969" max="9216" width="11.44140625" style="655"/>
    <col min="9217" max="9217" width="10.88671875" style="655" customWidth="1"/>
    <col min="9218" max="9218" width="40.6640625" style="655" customWidth="1"/>
    <col min="9219" max="9219" width="15" style="655" customWidth="1"/>
    <col min="9220" max="9220" width="10.6640625" style="655" customWidth="1"/>
    <col min="9221" max="9221" width="14.5546875" style="655" customWidth="1"/>
    <col min="9222" max="9222" width="17.109375" style="655" customWidth="1"/>
    <col min="9223" max="9223" width="11.44140625" style="655"/>
    <col min="9224" max="9224" width="17.44140625" style="655" bestFit="1" customWidth="1"/>
    <col min="9225" max="9472" width="11.44140625" style="655"/>
    <col min="9473" max="9473" width="10.88671875" style="655" customWidth="1"/>
    <col min="9474" max="9474" width="40.6640625" style="655" customWidth="1"/>
    <col min="9475" max="9475" width="15" style="655" customWidth="1"/>
    <col min="9476" max="9476" width="10.6640625" style="655" customWidth="1"/>
    <col min="9477" max="9477" width="14.5546875" style="655" customWidth="1"/>
    <col min="9478" max="9478" width="17.109375" style="655" customWidth="1"/>
    <col min="9479" max="9479" width="11.44140625" style="655"/>
    <col min="9480" max="9480" width="17.44140625" style="655" bestFit="1" customWidth="1"/>
    <col min="9481" max="9728" width="11.44140625" style="655"/>
    <col min="9729" max="9729" width="10.88671875" style="655" customWidth="1"/>
    <col min="9730" max="9730" width="40.6640625" style="655" customWidth="1"/>
    <col min="9731" max="9731" width="15" style="655" customWidth="1"/>
    <col min="9732" max="9732" width="10.6640625" style="655" customWidth="1"/>
    <col min="9733" max="9733" width="14.5546875" style="655" customWidth="1"/>
    <col min="9734" max="9734" width="17.109375" style="655" customWidth="1"/>
    <col min="9735" max="9735" width="11.44140625" style="655"/>
    <col min="9736" max="9736" width="17.44140625" style="655" bestFit="1" customWidth="1"/>
    <col min="9737" max="9984" width="11.44140625" style="655"/>
    <col min="9985" max="9985" width="10.88671875" style="655" customWidth="1"/>
    <col min="9986" max="9986" width="40.6640625" style="655" customWidth="1"/>
    <col min="9987" max="9987" width="15" style="655" customWidth="1"/>
    <col min="9988" max="9988" width="10.6640625" style="655" customWidth="1"/>
    <col min="9989" max="9989" width="14.5546875" style="655" customWidth="1"/>
    <col min="9990" max="9990" width="17.109375" style="655" customWidth="1"/>
    <col min="9991" max="9991" width="11.44140625" style="655"/>
    <col min="9992" max="9992" width="17.44140625" style="655" bestFit="1" customWidth="1"/>
    <col min="9993" max="10240" width="11.44140625" style="655"/>
    <col min="10241" max="10241" width="10.88671875" style="655" customWidth="1"/>
    <col min="10242" max="10242" width="40.6640625" style="655" customWidth="1"/>
    <col min="10243" max="10243" width="15" style="655" customWidth="1"/>
    <col min="10244" max="10244" width="10.6640625" style="655" customWidth="1"/>
    <col min="10245" max="10245" width="14.5546875" style="655" customWidth="1"/>
    <col min="10246" max="10246" width="17.109375" style="655" customWidth="1"/>
    <col min="10247" max="10247" width="11.44140625" style="655"/>
    <col min="10248" max="10248" width="17.44140625" style="655" bestFit="1" customWidth="1"/>
    <col min="10249" max="10496" width="11.44140625" style="655"/>
    <col min="10497" max="10497" width="10.88671875" style="655" customWidth="1"/>
    <col min="10498" max="10498" width="40.6640625" style="655" customWidth="1"/>
    <col min="10499" max="10499" width="15" style="655" customWidth="1"/>
    <col min="10500" max="10500" width="10.6640625" style="655" customWidth="1"/>
    <col min="10501" max="10501" width="14.5546875" style="655" customWidth="1"/>
    <col min="10502" max="10502" width="17.109375" style="655" customWidth="1"/>
    <col min="10503" max="10503" width="11.44140625" style="655"/>
    <col min="10504" max="10504" width="17.44140625" style="655" bestFit="1" customWidth="1"/>
    <col min="10505" max="10752" width="11.44140625" style="655"/>
    <col min="10753" max="10753" width="10.88671875" style="655" customWidth="1"/>
    <col min="10754" max="10754" width="40.6640625" style="655" customWidth="1"/>
    <col min="10755" max="10755" width="15" style="655" customWidth="1"/>
    <col min="10756" max="10756" width="10.6640625" style="655" customWidth="1"/>
    <col min="10757" max="10757" width="14.5546875" style="655" customWidth="1"/>
    <col min="10758" max="10758" width="17.109375" style="655" customWidth="1"/>
    <col min="10759" max="10759" width="11.44140625" style="655"/>
    <col min="10760" max="10760" width="17.44140625" style="655" bestFit="1" customWidth="1"/>
    <col min="10761" max="11008" width="11.44140625" style="655"/>
    <col min="11009" max="11009" width="10.88671875" style="655" customWidth="1"/>
    <col min="11010" max="11010" width="40.6640625" style="655" customWidth="1"/>
    <col min="11011" max="11011" width="15" style="655" customWidth="1"/>
    <col min="11012" max="11012" width="10.6640625" style="655" customWidth="1"/>
    <col min="11013" max="11013" width="14.5546875" style="655" customWidth="1"/>
    <col min="11014" max="11014" width="17.109375" style="655" customWidth="1"/>
    <col min="11015" max="11015" width="11.44140625" style="655"/>
    <col min="11016" max="11016" width="17.44140625" style="655" bestFit="1" customWidth="1"/>
    <col min="11017" max="11264" width="11.44140625" style="655"/>
    <col min="11265" max="11265" width="10.88671875" style="655" customWidth="1"/>
    <col min="11266" max="11266" width="40.6640625" style="655" customWidth="1"/>
    <col min="11267" max="11267" width="15" style="655" customWidth="1"/>
    <col min="11268" max="11268" width="10.6640625" style="655" customWidth="1"/>
    <col min="11269" max="11269" width="14.5546875" style="655" customWidth="1"/>
    <col min="11270" max="11270" width="17.109375" style="655" customWidth="1"/>
    <col min="11271" max="11271" width="11.44140625" style="655"/>
    <col min="11272" max="11272" width="17.44140625" style="655" bestFit="1" customWidth="1"/>
    <col min="11273" max="11520" width="11.44140625" style="655"/>
    <col min="11521" max="11521" width="10.88671875" style="655" customWidth="1"/>
    <col min="11522" max="11522" width="40.6640625" style="655" customWidth="1"/>
    <col min="11523" max="11523" width="15" style="655" customWidth="1"/>
    <col min="11524" max="11524" width="10.6640625" style="655" customWidth="1"/>
    <col min="11525" max="11525" width="14.5546875" style="655" customWidth="1"/>
    <col min="11526" max="11526" width="17.109375" style="655" customWidth="1"/>
    <col min="11527" max="11527" width="11.44140625" style="655"/>
    <col min="11528" max="11528" width="17.44140625" style="655" bestFit="1" customWidth="1"/>
    <col min="11529" max="11776" width="11.44140625" style="655"/>
    <col min="11777" max="11777" width="10.88671875" style="655" customWidth="1"/>
    <col min="11778" max="11778" width="40.6640625" style="655" customWidth="1"/>
    <col min="11779" max="11779" width="15" style="655" customWidth="1"/>
    <col min="11780" max="11780" width="10.6640625" style="655" customWidth="1"/>
    <col min="11781" max="11781" width="14.5546875" style="655" customWidth="1"/>
    <col min="11782" max="11782" width="17.109375" style="655" customWidth="1"/>
    <col min="11783" max="11783" width="11.44140625" style="655"/>
    <col min="11784" max="11784" width="17.44140625" style="655" bestFit="1" customWidth="1"/>
    <col min="11785" max="12032" width="11.44140625" style="655"/>
    <col min="12033" max="12033" width="10.88671875" style="655" customWidth="1"/>
    <col min="12034" max="12034" width="40.6640625" style="655" customWidth="1"/>
    <col min="12035" max="12035" width="15" style="655" customWidth="1"/>
    <col min="12036" max="12036" width="10.6640625" style="655" customWidth="1"/>
    <col min="12037" max="12037" width="14.5546875" style="655" customWidth="1"/>
    <col min="12038" max="12038" width="17.109375" style="655" customWidth="1"/>
    <col min="12039" max="12039" width="11.44140625" style="655"/>
    <col min="12040" max="12040" width="17.44140625" style="655" bestFit="1" customWidth="1"/>
    <col min="12041" max="12288" width="11.44140625" style="655"/>
    <col min="12289" max="12289" width="10.88671875" style="655" customWidth="1"/>
    <col min="12290" max="12290" width="40.6640625" style="655" customWidth="1"/>
    <col min="12291" max="12291" width="15" style="655" customWidth="1"/>
    <col min="12292" max="12292" width="10.6640625" style="655" customWidth="1"/>
    <col min="12293" max="12293" width="14.5546875" style="655" customWidth="1"/>
    <col min="12294" max="12294" width="17.109375" style="655" customWidth="1"/>
    <col min="12295" max="12295" width="11.44140625" style="655"/>
    <col min="12296" max="12296" width="17.44140625" style="655" bestFit="1" customWidth="1"/>
    <col min="12297" max="12544" width="11.44140625" style="655"/>
    <col min="12545" max="12545" width="10.88671875" style="655" customWidth="1"/>
    <col min="12546" max="12546" width="40.6640625" style="655" customWidth="1"/>
    <col min="12547" max="12547" width="15" style="655" customWidth="1"/>
    <col min="12548" max="12548" width="10.6640625" style="655" customWidth="1"/>
    <col min="12549" max="12549" width="14.5546875" style="655" customWidth="1"/>
    <col min="12550" max="12550" width="17.109375" style="655" customWidth="1"/>
    <col min="12551" max="12551" width="11.44140625" style="655"/>
    <col min="12552" max="12552" width="17.44140625" style="655" bestFit="1" customWidth="1"/>
    <col min="12553" max="12800" width="11.44140625" style="655"/>
    <col min="12801" max="12801" width="10.88671875" style="655" customWidth="1"/>
    <col min="12802" max="12802" width="40.6640625" style="655" customWidth="1"/>
    <col min="12803" max="12803" width="15" style="655" customWidth="1"/>
    <col min="12804" max="12804" width="10.6640625" style="655" customWidth="1"/>
    <col min="12805" max="12805" width="14.5546875" style="655" customWidth="1"/>
    <col min="12806" max="12806" width="17.109375" style="655" customWidth="1"/>
    <col min="12807" max="12807" width="11.44140625" style="655"/>
    <col min="12808" max="12808" width="17.44140625" style="655" bestFit="1" customWidth="1"/>
    <col min="12809" max="13056" width="11.44140625" style="655"/>
    <col min="13057" max="13057" width="10.88671875" style="655" customWidth="1"/>
    <col min="13058" max="13058" width="40.6640625" style="655" customWidth="1"/>
    <col min="13059" max="13059" width="15" style="655" customWidth="1"/>
    <col min="13060" max="13060" width="10.6640625" style="655" customWidth="1"/>
    <col min="13061" max="13061" width="14.5546875" style="655" customWidth="1"/>
    <col min="13062" max="13062" width="17.109375" style="655" customWidth="1"/>
    <col min="13063" max="13063" width="11.44140625" style="655"/>
    <col min="13064" max="13064" width="17.44140625" style="655" bestFit="1" customWidth="1"/>
    <col min="13065" max="13312" width="11.44140625" style="655"/>
    <col min="13313" max="13313" width="10.88671875" style="655" customWidth="1"/>
    <col min="13314" max="13314" width="40.6640625" style="655" customWidth="1"/>
    <col min="13315" max="13315" width="15" style="655" customWidth="1"/>
    <col min="13316" max="13316" width="10.6640625" style="655" customWidth="1"/>
    <col min="13317" max="13317" width="14.5546875" style="655" customWidth="1"/>
    <col min="13318" max="13318" width="17.109375" style="655" customWidth="1"/>
    <col min="13319" max="13319" width="11.44140625" style="655"/>
    <col min="13320" max="13320" width="17.44140625" style="655" bestFit="1" customWidth="1"/>
    <col min="13321" max="13568" width="11.44140625" style="655"/>
    <col min="13569" max="13569" width="10.88671875" style="655" customWidth="1"/>
    <col min="13570" max="13570" width="40.6640625" style="655" customWidth="1"/>
    <col min="13571" max="13571" width="15" style="655" customWidth="1"/>
    <col min="13572" max="13572" width="10.6640625" style="655" customWidth="1"/>
    <col min="13573" max="13573" width="14.5546875" style="655" customWidth="1"/>
    <col min="13574" max="13574" width="17.109375" style="655" customWidth="1"/>
    <col min="13575" max="13575" width="11.44140625" style="655"/>
    <col min="13576" max="13576" width="17.44140625" style="655" bestFit="1" customWidth="1"/>
    <col min="13577" max="13824" width="11.44140625" style="655"/>
    <col min="13825" max="13825" width="10.88671875" style="655" customWidth="1"/>
    <col min="13826" max="13826" width="40.6640625" style="655" customWidth="1"/>
    <col min="13827" max="13827" width="15" style="655" customWidth="1"/>
    <col min="13828" max="13828" width="10.6640625" style="655" customWidth="1"/>
    <col min="13829" max="13829" width="14.5546875" style="655" customWidth="1"/>
    <col min="13830" max="13830" width="17.109375" style="655" customWidth="1"/>
    <col min="13831" max="13831" width="11.44140625" style="655"/>
    <col min="13832" max="13832" width="17.44140625" style="655" bestFit="1" customWidth="1"/>
    <col min="13833" max="14080" width="11.44140625" style="655"/>
    <col min="14081" max="14081" width="10.88671875" style="655" customWidth="1"/>
    <col min="14082" max="14082" width="40.6640625" style="655" customWidth="1"/>
    <col min="14083" max="14083" width="15" style="655" customWidth="1"/>
    <col min="14084" max="14084" width="10.6640625" style="655" customWidth="1"/>
    <col min="14085" max="14085" width="14.5546875" style="655" customWidth="1"/>
    <col min="14086" max="14086" width="17.109375" style="655" customWidth="1"/>
    <col min="14087" max="14087" width="11.44140625" style="655"/>
    <col min="14088" max="14088" width="17.44140625" style="655" bestFit="1" customWidth="1"/>
    <col min="14089" max="14336" width="11.44140625" style="655"/>
    <col min="14337" max="14337" width="10.88671875" style="655" customWidth="1"/>
    <col min="14338" max="14338" width="40.6640625" style="655" customWidth="1"/>
    <col min="14339" max="14339" width="15" style="655" customWidth="1"/>
    <col min="14340" max="14340" width="10.6640625" style="655" customWidth="1"/>
    <col min="14341" max="14341" width="14.5546875" style="655" customWidth="1"/>
    <col min="14342" max="14342" width="17.109375" style="655" customWidth="1"/>
    <col min="14343" max="14343" width="11.44140625" style="655"/>
    <col min="14344" max="14344" width="17.44140625" style="655" bestFit="1" customWidth="1"/>
    <col min="14345" max="14592" width="11.44140625" style="655"/>
    <col min="14593" max="14593" width="10.88671875" style="655" customWidth="1"/>
    <col min="14594" max="14594" width="40.6640625" style="655" customWidth="1"/>
    <col min="14595" max="14595" width="15" style="655" customWidth="1"/>
    <col min="14596" max="14596" width="10.6640625" style="655" customWidth="1"/>
    <col min="14597" max="14597" width="14.5546875" style="655" customWidth="1"/>
    <col min="14598" max="14598" width="17.109375" style="655" customWidth="1"/>
    <col min="14599" max="14599" width="11.44140625" style="655"/>
    <col min="14600" max="14600" width="17.44140625" style="655" bestFit="1" customWidth="1"/>
    <col min="14601" max="14848" width="11.44140625" style="655"/>
    <col min="14849" max="14849" width="10.88671875" style="655" customWidth="1"/>
    <col min="14850" max="14850" width="40.6640625" style="655" customWidth="1"/>
    <col min="14851" max="14851" width="15" style="655" customWidth="1"/>
    <col min="14852" max="14852" width="10.6640625" style="655" customWidth="1"/>
    <col min="14853" max="14853" width="14.5546875" style="655" customWidth="1"/>
    <col min="14854" max="14854" width="17.109375" style="655" customWidth="1"/>
    <col min="14855" max="14855" width="11.44140625" style="655"/>
    <col min="14856" max="14856" width="17.44140625" style="655" bestFit="1" customWidth="1"/>
    <col min="14857" max="15104" width="11.44140625" style="655"/>
    <col min="15105" max="15105" width="10.88671875" style="655" customWidth="1"/>
    <col min="15106" max="15106" width="40.6640625" style="655" customWidth="1"/>
    <col min="15107" max="15107" width="15" style="655" customWidth="1"/>
    <col min="15108" max="15108" width="10.6640625" style="655" customWidth="1"/>
    <col min="15109" max="15109" width="14.5546875" style="655" customWidth="1"/>
    <col min="15110" max="15110" width="17.109375" style="655" customWidth="1"/>
    <col min="15111" max="15111" width="11.44140625" style="655"/>
    <col min="15112" max="15112" width="17.44140625" style="655" bestFit="1" customWidth="1"/>
    <col min="15113" max="15360" width="11.44140625" style="655"/>
    <col min="15361" max="15361" width="10.88671875" style="655" customWidth="1"/>
    <col min="15362" max="15362" width="40.6640625" style="655" customWidth="1"/>
    <col min="15363" max="15363" width="15" style="655" customWidth="1"/>
    <col min="15364" max="15364" width="10.6640625" style="655" customWidth="1"/>
    <col min="15365" max="15365" width="14.5546875" style="655" customWidth="1"/>
    <col min="15366" max="15366" width="17.109375" style="655" customWidth="1"/>
    <col min="15367" max="15367" width="11.44140625" style="655"/>
    <col min="15368" max="15368" width="17.44140625" style="655" bestFit="1" customWidth="1"/>
    <col min="15369" max="15616" width="11.44140625" style="655"/>
    <col min="15617" max="15617" width="10.88671875" style="655" customWidth="1"/>
    <col min="15618" max="15618" width="40.6640625" style="655" customWidth="1"/>
    <col min="15619" max="15619" width="15" style="655" customWidth="1"/>
    <col min="15620" max="15620" width="10.6640625" style="655" customWidth="1"/>
    <col min="15621" max="15621" width="14.5546875" style="655" customWidth="1"/>
    <col min="15622" max="15622" width="17.109375" style="655" customWidth="1"/>
    <col min="15623" max="15623" width="11.44140625" style="655"/>
    <col min="15624" max="15624" width="17.44140625" style="655" bestFit="1" customWidth="1"/>
    <col min="15625" max="15872" width="11.44140625" style="655"/>
    <col min="15873" max="15873" width="10.88671875" style="655" customWidth="1"/>
    <col min="15874" max="15874" width="40.6640625" style="655" customWidth="1"/>
    <col min="15875" max="15875" width="15" style="655" customWidth="1"/>
    <col min="15876" max="15876" width="10.6640625" style="655" customWidth="1"/>
    <col min="15877" max="15877" width="14.5546875" style="655" customWidth="1"/>
    <col min="15878" max="15878" width="17.109375" style="655" customWidth="1"/>
    <col min="15879" max="15879" width="11.44140625" style="655"/>
    <col min="15880" max="15880" width="17.44140625" style="655" bestFit="1" customWidth="1"/>
    <col min="15881" max="16128" width="11.44140625" style="655"/>
    <col min="16129" max="16129" width="10.88671875" style="655" customWidth="1"/>
    <col min="16130" max="16130" width="40.6640625" style="655" customWidth="1"/>
    <col min="16131" max="16131" width="15" style="655" customWidth="1"/>
    <col min="16132" max="16132" width="10.6640625" style="655" customWidth="1"/>
    <col min="16133" max="16133" width="14.5546875" style="655" customWidth="1"/>
    <col min="16134" max="16134" width="17.109375" style="655" customWidth="1"/>
    <col min="16135" max="16135" width="11.44140625" style="655"/>
    <col min="16136" max="16136" width="17.44140625" style="655" bestFit="1" customWidth="1"/>
    <col min="16137" max="16384" width="11.44140625" style="655"/>
  </cols>
  <sheetData>
    <row r="2" spans="1:6" x14ac:dyDescent="0.45">
      <c r="A2" s="906" t="s">
        <v>653</v>
      </c>
      <c r="B2" s="907"/>
      <c r="C2" s="907"/>
      <c r="D2" s="907"/>
      <c r="E2" s="907"/>
      <c r="F2" s="908"/>
    </row>
    <row r="3" spans="1:6" x14ac:dyDescent="0.45">
      <c r="A3" s="677"/>
      <c r="B3" s="677"/>
      <c r="C3" s="677"/>
      <c r="D3" s="677"/>
      <c r="E3" s="677"/>
      <c r="F3" s="677"/>
    </row>
    <row r="4" spans="1:6" s="221" customFormat="1" ht="16.2" thickBot="1" x14ac:dyDescent="0.35">
      <c r="A4" s="905" t="s">
        <v>654</v>
      </c>
      <c r="B4" s="905"/>
      <c r="C4" s="905"/>
      <c r="D4" s="905"/>
      <c r="E4" s="905"/>
      <c r="F4" s="905"/>
    </row>
    <row r="5" spans="1:6" s="676" customFormat="1" ht="16.2" thickTop="1" x14ac:dyDescent="0.3">
      <c r="A5" s="670">
        <v>47</v>
      </c>
      <c r="B5" s="671" t="s">
        <v>0</v>
      </c>
      <c r="C5" s="675" t="s">
        <v>655</v>
      </c>
      <c r="D5" s="672" t="s">
        <v>189</v>
      </c>
      <c r="E5" s="673" t="s">
        <v>3</v>
      </c>
      <c r="F5" s="674" t="s">
        <v>138</v>
      </c>
    </row>
    <row r="6" spans="1:6" s="221" customFormat="1" ht="15" x14ac:dyDescent="0.25">
      <c r="A6" s="517" t="s">
        <v>693</v>
      </c>
      <c r="B6" s="15" t="s">
        <v>656</v>
      </c>
      <c r="C6" s="16">
        <v>1</v>
      </c>
      <c r="D6" s="17" t="s">
        <v>189</v>
      </c>
      <c r="E6" s="18">
        <v>65</v>
      </c>
      <c r="F6" s="19">
        <f>ROUND(C6*E6,2)</f>
        <v>65</v>
      </c>
    </row>
    <row r="7" spans="1:6" s="221" customFormat="1" ht="15" x14ac:dyDescent="0.25">
      <c r="A7" s="517" t="s">
        <v>694</v>
      </c>
      <c r="B7" s="15" t="s">
        <v>657</v>
      </c>
      <c r="C7" s="16">
        <v>1</v>
      </c>
      <c r="D7" s="17" t="s">
        <v>189</v>
      </c>
      <c r="E7" s="18">
        <v>112</v>
      </c>
      <c r="F7" s="19">
        <f>ROUND(C7*E7,2)</f>
        <v>112</v>
      </c>
    </row>
    <row r="8" spans="1:6" s="221" customFormat="1" ht="15" x14ac:dyDescent="0.25">
      <c r="A8" s="517" t="s">
        <v>699</v>
      </c>
      <c r="B8" s="15" t="s">
        <v>658</v>
      </c>
      <c r="C8" s="16">
        <v>2</v>
      </c>
      <c r="D8" s="17" t="s">
        <v>189</v>
      </c>
      <c r="E8" s="18">
        <v>9</v>
      </c>
      <c r="F8" s="19">
        <f>ROUND(C8*E8,2)</f>
        <v>18</v>
      </c>
    </row>
    <row r="9" spans="1:6" s="221" customFormat="1" ht="15" x14ac:dyDescent="0.25">
      <c r="A9" s="517" t="s">
        <v>695</v>
      </c>
      <c r="B9" s="15" t="s">
        <v>659</v>
      </c>
      <c r="C9" s="16">
        <v>40</v>
      </c>
      <c r="D9" s="17" t="s">
        <v>660</v>
      </c>
      <c r="E9" s="18">
        <v>7.67</v>
      </c>
      <c r="F9" s="19">
        <f>ROUND(C9*E9,2)</f>
        <v>306.8</v>
      </c>
    </row>
    <row r="10" spans="1:6" s="221" customFormat="1" ht="15" x14ac:dyDescent="0.25">
      <c r="A10" s="517" t="s">
        <v>696</v>
      </c>
      <c r="B10" s="15" t="s">
        <v>661</v>
      </c>
      <c r="C10" s="16">
        <v>1</v>
      </c>
      <c r="D10" s="17" t="s">
        <v>189</v>
      </c>
      <c r="E10" s="18">
        <v>75</v>
      </c>
      <c r="F10" s="19">
        <f>ROUND(C10*E10,2)</f>
        <v>75</v>
      </c>
    </row>
    <row r="11" spans="1:6" s="221" customFormat="1" ht="15" x14ac:dyDescent="0.25">
      <c r="A11" s="517" t="s">
        <v>697</v>
      </c>
      <c r="B11" s="15" t="s">
        <v>404</v>
      </c>
      <c r="C11" s="16">
        <v>0.1</v>
      </c>
      <c r="D11" s="17" t="s">
        <v>200</v>
      </c>
      <c r="E11" s="18">
        <f>SUM(F6:F10)</f>
        <v>576.79999999999995</v>
      </c>
      <c r="F11" s="19">
        <f>+C11*E11</f>
        <v>57.68</v>
      </c>
    </row>
    <row r="12" spans="1:6" s="221" customFormat="1" ht="15.6" thickBot="1" x14ac:dyDescent="0.3">
      <c r="A12" s="517" t="s">
        <v>698</v>
      </c>
      <c r="B12" s="15" t="s">
        <v>662</v>
      </c>
      <c r="C12" s="16">
        <v>1</v>
      </c>
      <c r="D12" s="17" t="s">
        <v>189</v>
      </c>
      <c r="E12" s="18">
        <v>200</v>
      </c>
      <c r="F12" s="19">
        <f>+C12*E12</f>
        <v>200</v>
      </c>
    </row>
    <row r="13" spans="1:6" s="221" customFormat="1" ht="16.8" thickTop="1" thickBot="1" x14ac:dyDescent="0.35">
      <c r="A13" s="894" t="s">
        <v>663</v>
      </c>
      <c r="B13" s="895"/>
      <c r="C13" s="895"/>
      <c r="D13" s="895"/>
      <c r="E13" s="895"/>
      <c r="F13" s="534">
        <f>SUM(F6:F12)</f>
        <v>834.4799999999999</v>
      </c>
    </row>
    <row r="14" spans="1:6" ht="22.5" customHeight="1" thickTop="1" x14ac:dyDescent="0.45">
      <c r="A14" s="660"/>
      <c r="B14" s="657"/>
      <c r="C14" s="658"/>
      <c r="D14" s="662"/>
      <c r="E14" s="664"/>
      <c r="F14" s="659"/>
    </row>
    <row r="15" spans="1:6" s="221" customFormat="1" ht="16.2" thickBot="1" x14ac:dyDescent="0.35">
      <c r="A15" s="905" t="s">
        <v>664</v>
      </c>
      <c r="B15" s="905"/>
      <c r="C15" s="905"/>
      <c r="D15" s="905"/>
      <c r="E15" s="905"/>
      <c r="F15" s="905"/>
    </row>
    <row r="16" spans="1:6" s="676" customFormat="1" ht="16.2" thickTop="1" x14ac:dyDescent="0.3">
      <c r="A16" s="670">
        <v>47</v>
      </c>
      <c r="B16" s="671" t="s">
        <v>0</v>
      </c>
      <c r="C16" s="675" t="s">
        <v>655</v>
      </c>
      <c r="D16" s="672" t="s">
        <v>189</v>
      </c>
      <c r="E16" s="673" t="s">
        <v>3</v>
      </c>
      <c r="F16" s="674" t="s">
        <v>138</v>
      </c>
    </row>
    <row r="17" spans="1:6" s="221" customFormat="1" ht="15" x14ac:dyDescent="0.25">
      <c r="A17" s="517" t="s">
        <v>693</v>
      </c>
      <c r="B17" s="15" t="s">
        <v>665</v>
      </c>
      <c r="C17" s="16">
        <v>1</v>
      </c>
      <c r="D17" s="17" t="s">
        <v>633</v>
      </c>
      <c r="E17" s="18">
        <v>55</v>
      </c>
      <c r="F17" s="19">
        <f t="shared" ref="F17:F23" si="0">+C17*E17</f>
        <v>55</v>
      </c>
    </row>
    <row r="18" spans="1:6" s="221" customFormat="1" ht="15" x14ac:dyDescent="0.25">
      <c r="A18" s="517" t="s">
        <v>694</v>
      </c>
      <c r="B18" s="15" t="s">
        <v>659</v>
      </c>
      <c r="C18" s="16">
        <v>35</v>
      </c>
      <c r="D18" s="17" t="s">
        <v>666</v>
      </c>
      <c r="E18" s="18">
        <v>7.67</v>
      </c>
      <c r="F18" s="19">
        <f t="shared" si="0"/>
        <v>268.45</v>
      </c>
    </row>
    <row r="19" spans="1:6" s="221" customFormat="1" ht="15" x14ac:dyDescent="0.25">
      <c r="A19" s="517" t="s">
        <v>699</v>
      </c>
      <c r="B19" s="15" t="s">
        <v>657</v>
      </c>
      <c r="C19" s="16">
        <v>1</v>
      </c>
      <c r="D19" s="17" t="s">
        <v>189</v>
      </c>
      <c r="E19" s="18">
        <f>E7</f>
        <v>112</v>
      </c>
      <c r="F19" s="19">
        <f t="shared" si="0"/>
        <v>112</v>
      </c>
    </row>
    <row r="20" spans="1:6" s="221" customFormat="1" ht="15" x14ac:dyDescent="0.25">
      <c r="A20" s="517" t="s">
        <v>695</v>
      </c>
      <c r="B20" s="15" t="s">
        <v>658</v>
      </c>
      <c r="C20" s="16">
        <v>2</v>
      </c>
      <c r="D20" s="17" t="s">
        <v>633</v>
      </c>
      <c r="E20" s="18">
        <f>E8</f>
        <v>9</v>
      </c>
      <c r="F20" s="19">
        <f t="shared" si="0"/>
        <v>18</v>
      </c>
    </row>
    <row r="21" spans="1:6" s="221" customFormat="1" ht="15" x14ac:dyDescent="0.25">
      <c r="A21" s="517" t="s">
        <v>696</v>
      </c>
      <c r="B21" s="15" t="s">
        <v>667</v>
      </c>
      <c r="C21" s="16">
        <v>1</v>
      </c>
      <c r="D21" s="17" t="s">
        <v>633</v>
      </c>
      <c r="E21" s="18">
        <v>75</v>
      </c>
      <c r="F21" s="19">
        <f t="shared" si="0"/>
        <v>75</v>
      </c>
    </row>
    <row r="22" spans="1:6" s="221" customFormat="1" ht="15" x14ac:dyDescent="0.25">
      <c r="A22" s="517" t="s">
        <v>697</v>
      </c>
      <c r="B22" s="15" t="s">
        <v>404</v>
      </c>
      <c r="C22" s="16">
        <v>0.1</v>
      </c>
      <c r="D22" s="17" t="s">
        <v>200</v>
      </c>
      <c r="E22" s="18">
        <f>SUM(F17:F21)</f>
        <v>528.45000000000005</v>
      </c>
      <c r="F22" s="19">
        <f t="shared" si="0"/>
        <v>52.845000000000006</v>
      </c>
    </row>
    <row r="23" spans="1:6" s="221" customFormat="1" ht="15.6" thickBot="1" x14ac:dyDescent="0.3">
      <c r="A23" s="517" t="s">
        <v>698</v>
      </c>
      <c r="B23" s="15" t="s">
        <v>662</v>
      </c>
      <c r="C23" s="16">
        <v>1</v>
      </c>
      <c r="D23" s="17" t="s">
        <v>189</v>
      </c>
      <c r="E23" s="18">
        <v>200</v>
      </c>
      <c r="F23" s="19">
        <f t="shared" si="0"/>
        <v>200</v>
      </c>
    </row>
    <row r="24" spans="1:6" s="221" customFormat="1" ht="16.8" thickTop="1" thickBot="1" x14ac:dyDescent="0.35">
      <c r="A24" s="894" t="s">
        <v>663</v>
      </c>
      <c r="B24" s="895"/>
      <c r="C24" s="895"/>
      <c r="D24" s="895"/>
      <c r="E24" s="895"/>
      <c r="F24" s="534">
        <f>SUM(F17:F23)</f>
        <v>781.29500000000007</v>
      </c>
    </row>
    <row r="25" spans="1:6" ht="22.5" customHeight="1" thickTop="1" x14ac:dyDescent="0.45">
      <c r="A25" s="656"/>
      <c r="B25" s="657"/>
      <c r="C25" s="658"/>
      <c r="D25" s="658"/>
      <c r="E25" s="658"/>
      <c r="F25" s="659"/>
    </row>
    <row r="26" spans="1:6" s="221" customFormat="1" ht="16.2" thickBot="1" x14ac:dyDescent="0.35">
      <c r="A26" s="905" t="s">
        <v>631</v>
      </c>
      <c r="B26" s="905"/>
      <c r="C26" s="905"/>
      <c r="D26" s="905"/>
      <c r="E26" s="905"/>
      <c r="F26" s="905"/>
    </row>
    <row r="27" spans="1:6" s="676" customFormat="1" ht="16.2" thickTop="1" x14ac:dyDescent="0.3">
      <c r="A27" s="670">
        <v>49</v>
      </c>
      <c r="B27" s="671" t="s">
        <v>0</v>
      </c>
      <c r="C27" s="675" t="s">
        <v>655</v>
      </c>
      <c r="D27" s="672" t="s">
        <v>189</v>
      </c>
      <c r="E27" s="673" t="s">
        <v>3</v>
      </c>
      <c r="F27" s="674" t="s">
        <v>138</v>
      </c>
    </row>
    <row r="28" spans="1:6" s="221" customFormat="1" ht="15" x14ac:dyDescent="0.25">
      <c r="A28" s="517" t="s">
        <v>693</v>
      </c>
      <c r="B28" s="15" t="s">
        <v>665</v>
      </c>
      <c r="C28" s="16">
        <v>1</v>
      </c>
      <c r="D28" s="17" t="s">
        <v>633</v>
      </c>
      <c r="E28" s="18">
        <f>E17</f>
        <v>55</v>
      </c>
      <c r="F28" s="19">
        <f t="shared" ref="F28:F34" si="1">+C28*E28</f>
        <v>55</v>
      </c>
    </row>
    <row r="29" spans="1:6" s="221" customFormat="1" ht="15" x14ac:dyDescent="0.25">
      <c r="A29" s="517" t="s">
        <v>694</v>
      </c>
      <c r="B29" s="15" t="s">
        <v>659</v>
      </c>
      <c r="C29" s="16">
        <v>50</v>
      </c>
      <c r="D29" s="17" t="s">
        <v>666</v>
      </c>
      <c r="E29" s="18">
        <f>E18</f>
        <v>7.67</v>
      </c>
      <c r="F29" s="19">
        <f t="shared" si="1"/>
        <v>383.5</v>
      </c>
    </row>
    <row r="30" spans="1:6" s="221" customFormat="1" ht="15" x14ac:dyDescent="0.25">
      <c r="A30" s="517" t="s">
        <v>699</v>
      </c>
      <c r="B30" s="15" t="s">
        <v>657</v>
      </c>
      <c r="C30" s="16">
        <v>1</v>
      </c>
      <c r="D30" s="17" t="s">
        <v>189</v>
      </c>
      <c r="E30" s="18">
        <f>E19</f>
        <v>112</v>
      </c>
      <c r="F30" s="19">
        <f t="shared" si="1"/>
        <v>112</v>
      </c>
    </row>
    <row r="31" spans="1:6" s="221" customFormat="1" ht="15" x14ac:dyDescent="0.25">
      <c r="A31" s="517" t="s">
        <v>695</v>
      </c>
      <c r="B31" s="15" t="s">
        <v>658</v>
      </c>
      <c r="C31" s="16">
        <v>2</v>
      </c>
      <c r="D31" s="17" t="s">
        <v>633</v>
      </c>
      <c r="E31" s="18">
        <f>E20</f>
        <v>9</v>
      </c>
      <c r="F31" s="19">
        <f t="shared" si="1"/>
        <v>18</v>
      </c>
    </row>
    <row r="32" spans="1:6" s="221" customFormat="1" ht="15" x14ac:dyDescent="0.25">
      <c r="A32" s="517" t="s">
        <v>696</v>
      </c>
      <c r="B32" s="15" t="s">
        <v>700</v>
      </c>
      <c r="C32" s="16">
        <v>1</v>
      </c>
      <c r="D32" s="17" t="s">
        <v>633</v>
      </c>
      <c r="E32" s="18">
        <v>85</v>
      </c>
      <c r="F32" s="19">
        <f t="shared" si="1"/>
        <v>85</v>
      </c>
    </row>
    <row r="33" spans="1:6" s="221" customFormat="1" ht="15" x14ac:dyDescent="0.25">
      <c r="A33" s="517" t="s">
        <v>697</v>
      </c>
      <c r="B33" s="15" t="s">
        <v>404</v>
      </c>
      <c r="C33" s="16">
        <v>0.1</v>
      </c>
      <c r="D33" s="17" t="s">
        <v>200</v>
      </c>
      <c r="E33" s="18">
        <f>SUM(F28:F32)</f>
        <v>653.5</v>
      </c>
      <c r="F33" s="19">
        <f t="shared" si="1"/>
        <v>65.350000000000009</v>
      </c>
    </row>
    <row r="34" spans="1:6" s="221" customFormat="1" ht="15.6" thickBot="1" x14ac:dyDescent="0.3">
      <c r="A34" s="517" t="s">
        <v>698</v>
      </c>
      <c r="B34" s="15" t="s">
        <v>662</v>
      </c>
      <c r="C34" s="16">
        <v>1</v>
      </c>
      <c r="D34" s="17" t="s">
        <v>189</v>
      </c>
      <c r="E34" s="18">
        <v>200</v>
      </c>
      <c r="F34" s="19">
        <f t="shared" si="1"/>
        <v>200</v>
      </c>
    </row>
    <row r="35" spans="1:6" s="221" customFormat="1" ht="16.8" thickTop="1" thickBot="1" x14ac:dyDescent="0.35">
      <c r="A35" s="894" t="s">
        <v>663</v>
      </c>
      <c r="B35" s="895"/>
      <c r="C35" s="895"/>
      <c r="D35" s="895"/>
      <c r="E35" s="895"/>
      <c r="F35" s="534">
        <f>SUM(F28:F34)</f>
        <v>918.85</v>
      </c>
    </row>
    <row r="36" spans="1:6" ht="22.5" customHeight="1" thickTop="1" x14ac:dyDescent="0.45">
      <c r="A36" s="660"/>
      <c r="B36" s="657"/>
      <c r="C36" s="658"/>
      <c r="D36" s="662"/>
      <c r="E36" s="664"/>
      <c r="F36" s="659"/>
    </row>
    <row r="37" spans="1:6" s="221" customFormat="1" ht="16.2" thickBot="1" x14ac:dyDescent="0.35">
      <c r="A37" s="905" t="s">
        <v>668</v>
      </c>
      <c r="B37" s="905"/>
      <c r="C37" s="905"/>
      <c r="D37" s="905"/>
      <c r="E37" s="905"/>
      <c r="F37" s="905"/>
    </row>
    <row r="38" spans="1:6" s="676" customFormat="1" ht="16.2" thickTop="1" x14ac:dyDescent="0.3">
      <c r="A38" s="670">
        <v>50</v>
      </c>
      <c r="B38" s="671" t="s">
        <v>0</v>
      </c>
      <c r="C38" s="675" t="s">
        <v>655</v>
      </c>
      <c r="D38" s="672" t="s">
        <v>189</v>
      </c>
      <c r="E38" s="673" t="s">
        <v>3</v>
      </c>
      <c r="F38" s="674" t="s">
        <v>138</v>
      </c>
    </row>
    <row r="39" spans="1:6" s="221" customFormat="1" ht="15" x14ac:dyDescent="0.25">
      <c r="A39" s="517" t="s">
        <v>693</v>
      </c>
      <c r="B39" s="15" t="s">
        <v>669</v>
      </c>
      <c r="C39" s="16">
        <v>1</v>
      </c>
      <c r="D39" s="17" t="s">
        <v>152</v>
      </c>
      <c r="E39" s="18">
        <f>E28</f>
        <v>55</v>
      </c>
      <c r="F39" s="19">
        <f t="shared" ref="F39:F45" si="2">+C39*E39</f>
        <v>55</v>
      </c>
    </row>
    <row r="40" spans="1:6" s="221" customFormat="1" ht="15" x14ac:dyDescent="0.25">
      <c r="A40" s="517" t="s">
        <v>694</v>
      </c>
      <c r="B40" s="15" t="s">
        <v>670</v>
      </c>
      <c r="C40" s="16">
        <v>1</v>
      </c>
      <c r="D40" s="17" t="s">
        <v>152</v>
      </c>
      <c r="E40" s="18">
        <f>+E7</f>
        <v>112</v>
      </c>
      <c r="F40" s="19">
        <f t="shared" si="2"/>
        <v>112</v>
      </c>
    </row>
    <row r="41" spans="1:6" s="221" customFormat="1" ht="15" x14ac:dyDescent="0.25">
      <c r="A41" s="517" t="s">
        <v>699</v>
      </c>
      <c r="B41" s="15" t="s">
        <v>671</v>
      </c>
      <c r="C41" s="16">
        <v>2</v>
      </c>
      <c r="D41" s="17" t="s">
        <v>152</v>
      </c>
      <c r="E41" s="18">
        <f>E31</f>
        <v>9</v>
      </c>
      <c r="F41" s="19">
        <f t="shared" si="2"/>
        <v>18</v>
      </c>
    </row>
    <row r="42" spans="1:6" s="221" customFormat="1" ht="15" x14ac:dyDescent="0.25">
      <c r="A42" s="517" t="s">
        <v>695</v>
      </c>
      <c r="B42" s="15" t="s">
        <v>672</v>
      </c>
      <c r="C42" s="16">
        <v>40</v>
      </c>
      <c r="D42" s="17" t="s">
        <v>632</v>
      </c>
      <c r="E42" s="18">
        <f>E29</f>
        <v>7.67</v>
      </c>
      <c r="F42" s="19">
        <f t="shared" si="2"/>
        <v>306.8</v>
      </c>
    </row>
    <row r="43" spans="1:6" s="221" customFormat="1" ht="15" x14ac:dyDescent="0.25">
      <c r="A43" s="517" t="s">
        <v>696</v>
      </c>
      <c r="B43" s="15" t="s">
        <v>673</v>
      </c>
      <c r="C43" s="16">
        <v>20</v>
      </c>
      <c r="D43" s="17" t="s">
        <v>632</v>
      </c>
      <c r="E43" s="18">
        <v>6.54</v>
      </c>
      <c r="F43" s="19">
        <f t="shared" si="2"/>
        <v>130.80000000000001</v>
      </c>
    </row>
    <row r="44" spans="1:6" s="221" customFormat="1" ht="15" x14ac:dyDescent="0.25">
      <c r="A44" s="517" t="s">
        <v>697</v>
      </c>
      <c r="B44" s="15" t="s">
        <v>674</v>
      </c>
      <c r="C44" s="16">
        <v>1</v>
      </c>
      <c r="D44" s="17" t="s">
        <v>152</v>
      </c>
      <c r="E44" s="18">
        <v>85</v>
      </c>
      <c r="F44" s="19">
        <f t="shared" si="2"/>
        <v>85</v>
      </c>
    </row>
    <row r="45" spans="1:6" s="221" customFormat="1" ht="15" x14ac:dyDescent="0.25">
      <c r="A45" s="517" t="s">
        <v>698</v>
      </c>
      <c r="B45" s="15" t="s">
        <v>404</v>
      </c>
      <c r="C45" s="16">
        <v>0.1</v>
      </c>
      <c r="D45" s="17" t="s">
        <v>200</v>
      </c>
      <c r="E45" s="18">
        <f>SUM(F41:F44)</f>
        <v>540.6</v>
      </c>
      <c r="F45" s="19">
        <f t="shared" si="2"/>
        <v>54.06</v>
      </c>
    </row>
    <row r="46" spans="1:6" s="221" customFormat="1" ht="15.6" thickBot="1" x14ac:dyDescent="0.3">
      <c r="A46" s="517" t="s">
        <v>701</v>
      </c>
      <c r="B46" s="15" t="s">
        <v>662</v>
      </c>
      <c r="C46" s="16">
        <v>1</v>
      </c>
      <c r="D46" s="17" t="s">
        <v>189</v>
      </c>
      <c r="E46" s="18">
        <v>200</v>
      </c>
      <c r="F46" s="19">
        <f>+C46*E46</f>
        <v>200</v>
      </c>
    </row>
    <row r="47" spans="1:6" s="221" customFormat="1" ht="16.8" thickTop="1" thickBot="1" x14ac:dyDescent="0.35">
      <c r="A47" s="894" t="s">
        <v>663</v>
      </c>
      <c r="B47" s="895"/>
      <c r="C47" s="895"/>
      <c r="D47" s="895"/>
      <c r="E47" s="895"/>
      <c r="F47" s="534">
        <f>SUM(F39:F46)</f>
        <v>961.66000000000008</v>
      </c>
    </row>
    <row r="48" spans="1:6" ht="22.5" customHeight="1" thickTop="1" x14ac:dyDescent="0.45">
      <c r="A48" s="660"/>
      <c r="B48" s="657"/>
      <c r="C48" s="658"/>
      <c r="D48" s="662"/>
      <c r="E48" s="664"/>
      <c r="F48" s="659"/>
    </row>
    <row r="49" spans="1:6" ht="22.5" customHeight="1" x14ac:dyDescent="0.45">
      <c r="A49" s="660"/>
      <c r="B49" s="657"/>
      <c r="C49" s="658"/>
      <c r="D49" s="662"/>
      <c r="E49" s="664"/>
      <c r="F49" s="659"/>
    </row>
    <row r="50" spans="1:6" s="221" customFormat="1" ht="16.2" thickBot="1" x14ac:dyDescent="0.35">
      <c r="A50" s="905" t="s">
        <v>675</v>
      </c>
      <c r="B50" s="905"/>
      <c r="C50" s="905"/>
      <c r="D50" s="905"/>
      <c r="E50" s="905"/>
      <c r="F50" s="905"/>
    </row>
    <row r="51" spans="1:6" s="676" customFormat="1" ht="16.2" thickTop="1" x14ac:dyDescent="0.3">
      <c r="A51" s="670">
        <v>51</v>
      </c>
      <c r="B51" s="671" t="s">
        <v>0</v>
      </c>
      <c r="C51" s="675" t="s">
        <v>655</v>
      </c>
      <c r="D51" s="672" t="s">
        <v>189</v>
      </c>
      <c r="E51" s="673" t="s">
        <v>3</v>
      </c>
      <c r="F51" s="674" t="s">
        <v>138</v>
      </c>
    </row>
    <row r="52" spans="1:6" s="221" customFormat="1" ht="15" x14ac:dyDescent="0.25">
      <c r="A52" s="517" t="s">
        <v>693</v>
      </c>
      <c r="B52" s="15" t="s">
        <v>676</v>
      </c>
      <c r="C52" s="16">
        <v>1</v>
      </c>
      <c r="D52" s="17" t="s">
        <v>633</v>
      </c>
      <c r="E52" s="18">
        <f>E39</f>
        <v>55</v>
      </c>
      <c r="F52" s="19">
        <f>+C52*E52</f>
        <v>55</v>
      </c>
    </row>
    <row r="53" spans="1:6" s="221" customFormat="1" ht="15" x14ac:dyDescent="0.25">
      <c r="A53" s="517" t="s">
        <v>694</v>
      </c>
      <c r="B53" s="15" t="s">
        <v>670</v>
      </c>
      <c r="C53" s="16">
        <v>1</v>
      </c>
      <c r="D53" s="17" t="s">
        <v>633</v>
      </c>
      <c r="E53" s="18">
        <f>E40</f>
        <v>112</v>
      </c>
      <c r="F53" s="19">
        <f>+C53*E53</f>
        <v>112</v>
      </c>
    </row>
    <row r="54" spans="1:6" s="221" customFormat="1" ht="15" x14ac:dyDescent="0.25">
      <c r="A54" s="517" t="s">
        <v>699</v>
      </c>
      <c r="B54" s="15" t="s">
        <v>671</v>
      </c>
      <c r="C54" s="16">
        <v>2</v>
      </c>
      <c r="D54" s="17" t="s">
        <v>633</v>
      </c>
      <c r="E54" s="18">
        <f>E41</f>
        <v>9</v>
      </c>
      <c r="F54" s="19">
        <f>+C54*E54</f>
        <v>18</v>
      </c>
    </row>
    <row r="55" spans="1:6" s="221" customFormat="1" ht="15" x14ac:dyDescent="0.25">
      <c r="A55" s="517" t="s">
        <v>695</v>
      </c>
      <c r="B55" s="15" t="s">
        <v>677</v>
      </c>
      <c r="C55" s="16">
        <v>1</v>
      </c>
      <c r="D55" s="17" t="s">
        <v>633</v>
      </c>
      <c r="E55" s="18">
        <v>8</v>
      </c>
      <c r="F55" s="19">
        <f>+C55*E55</f>
        <v>8</v>
      </c>
    </row>
    <row r="56" spans="1:6" s="221" customFormat="1" ht="15.6" thickBot="1" x14ac:dyDescent="0.3">
      <c r="A56" s="517" t="s">
        <v>696</v>
      </c>
      <c r="B56" s="15" t="s">
        <v>662</v>
      </c>
      <c r="C56" s="16">
        <v>1</v>
      </c>
      <c r="D56" s="17" t="s">
        <v>633</v>
      </c>
      <c r="E56" s="18">
        <v>175</v>
      </c>
      <c r="F56" s="19">
        <f>+C56*E56</f>
        <v>175</v>
      </c>
    </row>
    <row r="57" spans="1:6" s="221" customFormat="1" ht="16.8" thickTop="1" thickBot="1" x14ac:dyDescent="0.35">
      <c r="A57" s="894" t="s">
        <v>663</v>
      </c>
      <c r="B57" s="895"/>
      <c r="C57" s="895"/>
      <c r="D57" s="895"/>
      <c r="E57" s="895"/>
      <c r="F57" s="534">
        <f>SUM(F52:F56)</f>
        <v>368</v>
      </c>
    </row>
    <row r="58" spans="1:6" ht="22.5" customHeight="1" thickTop="1" x14ac:dyDescent="0.45">
      <c r="A58" s="660"/>
      <c r="B58" s="657"/>
      <c r="C58" s="658"/>
      <c r="D58" s="662"/>
      <c r="E58" s="664"/>
      <c r="F58" s="659"/>
    </row>
    <row r="59" spans="1:6" s="221" customFormat="1" ht="16.2" thickBot="1" x14ac:dyDescent="0.35">
      <c r="A59" s="905" t="s">
        <v>678</v>
      </c>
      <c r="B59" s="905"/>
      <c r="C59" s="905"/>
      <c r="D59" s="905"/>
      <c r="E59" s="905"/>
      <c r="F59" s="905"/>
    </row>
    <row r="60" spans="1:6" s="676" customFormat="1" ht="16.2" thickTop="1" x14ac:dyDescent="0.3">
      <c r="A60" s="670">
        <v>52</v>
      </c>
      <c r="B60" s="671" t="s">
        <v>0</v>
      </c>
      <c r="C60" s="675" t="s">
        <v>655</v>
      </c>
      <c r="D60" s="672" t="s">
        <v>189</v>
      </c>
      <c r="E60" s="673" t="s">
        <v>3</v>
      </c>
      <c r="F60" s="674" t="s">
        <v>138</v>
      </c>
    </row>
    <row r="61" spans="1:6" s="221" customFormat="1" ht="15" x14ac:dyDescent="0.25">
      <c r="A61" s="517"/>
      <c r="B61" s="15" t="s">
        <v>679</v>
      </c>
      <c r="C61" s="16"/>
      <c r="D61" s="17"/>
      <c r="E61" s="18"/>
      <c r="F61" s="19"/>
    </row>
    <row r="62" spans="1:6" s="221" customFormat="1" ht="15" x14ac:dyDescent="0.25">
      <c r="A62" s="517" t="s">
        <v>693</v>
      </c>
      <c r="B62" s="15" t="s">
        <v>680</v>
      </c>
      <c r="C62" s="16">
        <v>1</v>
      </c>
      <c r="D62" s="17" t="s">
        <v>130</v>
      </c>
      <c r="E62" s="18">
        <v>650</v>
      </c>
      <c r="F62" s="19">
        <f t="shared" ref="F62:F67" si="3">+C62*E62</f>
        <v>650</v>
      </c>
    </row>
    <row r="63" spans="1:6" s="221" customFormat="1" ht="15" x14ac:dyDescent="0.25">
      <c r="A63" s="517" t="s">
        <v>694</v>
      </c>
      <c r="B63" s="15" t="s">
        <v>681</v>
      </c>
      <c r="C63" s="16">
        <v>2</v>
      </c>
      <c r="D63" s="17" t="s">
        <v>633</v>
      </c>
      <c r="E63" s="18">
        <v>164.5</v>
      </c>
      <c r="F63" s="19">
        <f t="shared" si="3"/>
        <v>329</v>
      </c>
    </row>
    <row r="64" spans="1:6" s="221" customFormat="1" ht="15" x14ac:dyDescent="0.25">
      <c r="A64" s="517" t="s">
        <v>699</v>
      </c>
      <c r="B64" s="15" t="s">
        <v>682</v>
      </c>
      <c r="C64" s="16">
        <v>2</v>
      </c>
      <c r="D64" s="17" t="s">
        <v>633</v>
      </c>
      <c r="E64" s="18">
        <v>12</v>
      </c>
      <c r="F64" s="19">
        <f t="shared" si="3"/>
        <v>24</v>
      </c>
    </row>
    <row r="65" spans="1:6" s="221" customFormat="1" ht="15" x14ac:dyDescent="0.25">
      <c r="A65" s="517" t="s">
        <v>695</v>
      </c>
      <c r="B65" s="15" t="s">
        <v>683</v>
      </c>
      <c r="C65" s="16">
        <v>4</v>
      </c>
      <c r="D65" s="17" t="s">
        <v>130</v>
      </c>
      <c r="E65" s="18">
        <v>150</v>
      </c>
      <c r="F65" s="19">
        <f t="shared" si="3"/>
        <v>600</v>
      </c>
    </row>
    <row r="66" spans="1:6" s="221" customFormat="1" ht="15" x14ac:dyDescent="0.25">
      <c r="A66" s="517" t="s">
        <v>696</v>
      </c>
      <c r="B66" s="15" t="s">
        <v>404</v>
      </c>
      <c r="C66" s="16">
        <v>0.1</v>
      </c>
      <c r="D66" s="17" t="str">
        <f>+D56</f>
        <v>Ud.</v>
      </c>
      <c r="E66" s="18">
        <f>SUM(F60:F65)</f>
        <v>1603</v>
      </c>
      <c r="F66" s="19">
        <f t="shared" si="3"/>
        <v>160.30000000000001</v>
      </c>
    </row>
    <row r="67" spans="1:6" s="221" customFormat="1" ht="15.6" thickBot="1" x14ac:dyDescent="0.3">
      <c r="A67" s="517" t="s">
        <v>697</v>
      </c>
      <c r="B67" s="15" t="s">
        <v>662</v>
      </c>
      <c r="C67" s="16">
        <v>1</v>
      </c>
      <c r="D67" s="17" t="s">
        <v>633</v>
      </c>
      <c r="E67" s="18">
        <v>950</v>
      </c>
      <c r="F67" s="19">
        <f t="shared" si="3"/>
        <v>950</v>
      </c>
    </row>
    <row r="68" spans="1:6" s="221" customFormat="1" ht="16.8" thickTop="1" thickBot="1" x14ac:dyDescent="0.35">
      <c r="A68" s="894" t="s">
        <v>663</v>
      </c>
      <c r="B68" s="895"/>
      <c r="C68" s="895"/>
      <c r="D68" s="895"/>
      <c r="E68" s="895"/>
      <c r="F68" s="534">
        <f>SUM(F62:F67)</f>
        <v>2713.3</v>
      </c>
    </row>
    <row r="69" spans="1:6" s="665" customFormat="1" ht="24.75" customHeight="1" thickTop="1" x14ac:dyDescent="0.45">
      <c r="A69" s="660"/>
      <c r="B69" s="661"/>
      <c r="C69" s="658"/>
      <c r="D69" s="662"/>
      <c r="E69" s="661"/>
      <c r="F69" s="663"/>
    </row>
    <row r="70" spans="1:6" s="221" customFormat="1" ht="16.2" thickBot="1" x14ac:dyDescent="0.35">
      <c r="A70" s="905" t="s">
        <v>684</v>
      </c>
      <c r="B70" s="905"/>
      <c r="C70" s="905"/>
      <c r="D70" s="905"/>
      <c r="E70" s="905"/>
      <c r="F70" s="905"/>
    </row>
    <row r="71" spans="1:6" s="676" customFormat="1" ht="16.2" thickTop="1" x14ac:dyDescent="0.3">
      <c r="A71" s="670">
        <v>53</v>
      </c>
      <c r="B71" s="671" t="s">
        <v>0</v>
      </c>
      <c r="C71" s="675" t="s">
        <v>655</v>
      </c>
      <c r="D71" s="672" t="s">
        <v>692</v>
      </c>
      <c r="E71" s="673" t="s">
        <v>3</v>
      </c>
      <c r="F71" s="674" t="s">
        <v>138</v>
      </c>
    </row>
    <row r="72" spans="1:6" s="221" customFormat="1" ht="15" x14ac:dyDescent="0.25">
      <c r="A72" s="517" t="s">
        <v>693</v>
      </c>
      <c r="B72" s="15" t="s">
        <v>685</v>
      </c>
      <c r="C72" s="16">
        <v>40</v>
      </c>
      <c r="D72" s="17" t="s">
        <v>632</v>
      </c>
      <c r="E72" s="18">
        <v>13</v>
      </c>
      <c r="F72" s="19">
        <f>+C72*E72</f>
        <v>520</v>
      </c>
    </row>
    <row r="73" spans="1:6" s="221" customFormat="1" ht="15" x14ac:dyDescent="0.25">
      <c r="A73" s="517" t="s">
        <v>694</v>
      </c>
      <c r="B73" s="15" t="s">
        <v>686</v>
      </c>
      <c r="C73" s="16">
        <v>40</v>
      </c>
      <c r="D73" s="17" t="s">
        <v>632</v>
      </c>
      <c r="E73" s="18">
        <f>E42</f>
        <v>7.67</v>
      </c>
      <c r="F73" s="19">
        <f>+C73*E73</f>
        <v>306.8</v>
      </c>
    </row>
    <row r="74" spans="1:6" s="221" customFormat="1" ht="15" x14ac:dyDescent="0.25">
      <c r="A74" s="517" t="s">
        <v>699</v>
      </c>
      <c r="B74" s="15" t="s">
        <v>687</v>
      </c>
      <c r="C74" s="16">
        <v>40</v>
      </c>
      <c r="D74" s="17" t="s">
        <v>632</v>
      </c>
      <c r="E74" s="18">
        <f>E43</f>
        <v>6.54</v>
      </c>
      <c r="F74" s="19">
        <f>+C74*E74</f>
        <v>261.60000000000002</v>
      </c>
    </row>
    <row r="75" spans="1:6" s="221" customFormat="1" ht="15" x14ac:dyDescent="0.25">
      <c r="A75" s="517" t="s">
        <v>695</v>
      </c>
      <c r="B75" s="15" t="s">
        <v>688</v>
      </c>
      <c r="C75" s="16">
        <v>1</v>
      </c>
      <c r="D75" s="17" t="s">
        <v>191</v>
      </c>
      <c r="E75" s="18">
        <v>470</v>
      </c>
      <c r="F75" s="19">
        <f>+C75*E75</f>
        <v>470</v>
      </c>
    </row>
    <row r="76" spans="1:6" s="221" customFormat="1" ht="15" x14ac:dyDescent="0.25">
      <c r="A76" s="517" t="s">
        <v>696</v>
      </c>
      <c r="B76" s="15" t="s">
        <v>689</v>
      </c>
      <c r="C76" s="16">
        <v>1</v>
      </c>
      <c r="D76" s="17" t="s">
        <v>191</v>
      </c>
      <c r="E76" s="18">
        <v>45</v>
      </c>
      <c r="F76" s="19">
        <f>+C76*E76</f>
        <v>45</v>
      </c>
    </row>
    <row r="77" spans="1:6" s="221" customFormat="1" ht="15" x14ac:dyDescent="0.25">
      <c r="A77" s="517" t="s">
        <v>697</v>
      </c>
      <c r="B77" s="15" t="s">
        <v>690</v>
      </c>
      <c r="C77" s="16">
        <v>2</v>
      </c>
      <c r="D77" s="17" t="s">
        <v>189</v>
      </c>
      <c r="E77" s="18">
        <f>E63</f>
        <v>164.5</v>
      </c>
      <c r="F77" s="19">
        <f>E77*C77</f>
        <v>329</v>
      </c>
    </row>
    <row r="78" spans="1:6" s="221" customFormat="1" ht="15.6" thickBot="1" x14ac:dyDescent="0.3">
      <c r="A78" s="517" t="s">
        <v>698</v>
      </c>
      <c r="B78" s="15" t="s">
        <v>691</v>
      </c>
      <c r="C78" s="16">
        <v>40</v>
      </c>
      <c r="D78" s="17" t="s">
        <v>660</v>
      </c>
      <c r="E78" s="18">
        <v>35.5</v>
      </c>
      <c r="F78" s="19">
        <f>+E78*C78</f>
        <v>1420</v>
      </c>
    </row>
    <row r="79" spans="1:6" s="221" customFormat="1" ht="16.8" thickTop="1" thickBot="1" x14ac:dyDescent="0.35">
      <c r="A79" s="894" t="s">
        <v>702</v>
      </c>
      <c r="B79" s="895"/>
      <c r="C79" s="895"/>
      <c r="D79" s="895"/>
      <c r="E79" s="895"/>
      <c r="F79" s="534">
        <f>SUM(F72:F78)/40</f>
        <v>83.81</v>
      </c>
    </row>
    <row r="80" spans="1:6" s="665" customFormat="1" ht="20.399999999999999" thickTop="1" x14ac:dyDescent="0.45">
      <c r="A80" s="660"/>
      <c r="B80" s="661"/>
      <c r="C80" s="658"/>
      <c r="D80" s="662"/>
      <c r="E80" s="661"/>
      <c r="F80" s="663"/>
    </row>
  </sheetData>
  <mergeCells count="15">
    <mergeCell ref="A2:F2"/>
    <mergeCell ref="A4:F4"/>
    <mergeCell ref="A13:E13"/>
    <mergeCell ref="A15:F15"/>
    <mergeCell ref="A24:E24"/>
    <mergeCell ref="A59:F59"/>
    <mergeCell ref="A68:E68"/>
    <mergeCell ref="A70:F70"/>
    <mergeCell ref="A79:E79"/>
    <mergeCell ref="A26:F26"/>
    <mergeCell ref="A35:E35"/>
    <mergeCell ref="A37:F37"/>
    <mergeCell ref="A47:E47"/>
    <mergeCell ref="A50:F50"/>
    <mergeCell ref="A57:E57"/>
  </mergeCells>
  <printOptions horizontalCentered="1" verticalCentered="1"/>
  <pageMargins left="0.74803149606299213" right="0.74803149606299213" top="0.98425196850393704" bottom="0.98425196850393704" header="0" footer="0"/>
  <pageSetup paperSize="9" scale="80" orientation="portrait" r:id="rId1"/>
  <headerFooter alignWithMargins="0"/>
  <rowBreaks count="2" manualBreakCount="2">
    <brk id="57" max="5" man="1"/>
    <brk id="81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3"/>
  <sheetViews>
    <sheetView view="pageBreakPreview" topLeftCell="A382" zoomScale="130" zoomScaleNormal="130" zoomScaleSheetLayoutView="130" workbookViewId="0">
      <selection activeCell="F389" sqref="F389"/>
    </sheetView>
  </sheetViews>
  <sheetFormatPr baseColWidth="10" defaultColWidth="11.5546875" defaultRowHeight="15.6" x14ac:dyDescent="0.3"/>
  <cols>
    <col min="1" max="1" width="7.44140625" style="340" customWidth="1"/>
    <col min="2" max="2" width="58.88671875" style="270" customWidth="1"/>
    <col min="3" max="3" width="8.109375" style="340" customWidth="1"/>
    <col min="4" max="4" width="10.44140625" style="340" customWidth="1"/>
    <col min="5" max="5" width="7.109375" style="340" customWidth="1"/>
    <col min="6" max="6" width="13.6640625" style="340" customWidth="1"/>
    <col min="7" max="7" width="14.109375" style="340" customWidth="1"/>
    <col min="8" max="256" width="11.5546875" style="270"/>
    <col min="257" max="257" width="7.44140625" style="270" customWidth="1"/>
    <col min="258" max="258" width="58.88671875" style="270" customWidth="1"/>
    <col min="259" max="259" width="8.109375" style="270" customWidth="1"/>
    <col min="260" max="260" width="10.44140625" style="270" customWidth="1"/>
    <col min="261" max="261" width="7.109375" style="270" customWidth="1"/>
    <col min="262" max="262" width="13.6640625" style="270" customWidth="1"/>
    <col min="263" max="263" width="14.109375" style="270" customWidth="1"/>
    <col min="264" max="512" width="11.5546875" style="270"/>
    <col min="513" max="513" width="7.44140625" style="270" customWidth="1"/>
    <col min="514" max="514" width="58.88671875" style="270" customWidth="1"/>
    <col min="515" max="515" width="8.109375" style="270" customWidth="1"/>
    <col min="516" max="516" width="10.44140625" style="270" customWidth="1"/>
    <col min="517" max="517" width="7.109375" style="270" customWidth="1"/>
    <col min="518" max="518" width="13.6640625" style="270" customWidth="1"/>
    <col min="519" max="519" width="14.109375" style="270" customWidth="1"/>
    <col min="520" max="768" width="11.5546875" style="270"/>
    <col min="769" max="769" width="7.44140625" style="270" customWidth="1"/>
    <col min="770" max="770" width="58.88671875" style="270" customWidth="1"/>
    <col min="771" max="771" width="8.109375" style="270" customWidth="1"/>
    <col min="772" max="772" width="10.44140625" style="270" customWidth="1"/>
    <col min="773" max="773" width="7.109375" style="270" customWidth="1"/>
    <col min="774" max="774" width="13.6640625" style="270" customWidth="1"/>
    <col min="775" max="775" width="14.109375" style="270" customWidth="1"/>
    <col min="776" max="1024" width="11.5546875" style="270"/>
    <col min="1025" max="1025" width="7.44140625" style="270" customWidth="1"/>
    <col min="1026" max="1026" width="58.88671875" style="270" customWidth="1"/>
    <col min="1027" max="1027" width="8.109375" style="270" customWidth="1"/>
    <col min="1028" max="1028" width="10.44140625" style="270" customWidth="1"/>
    <col min="1029" max="1029" width="7.109375" style="270" customWidth="1"/>
    <col min="1030" max="1030" width="13.6640625" style="270" customWidth="1"/>
    <col min="1031" max="1031" width="14.109375" style="270" customWidth="1"/>
    <col min="1032" max="1280" width="11.5546875" style="270"/>
    <col min="1281" max="1281" width="7.44140625" style="270" customWidth="1"/>
    <col min="1282" max="1282" width="58.88671875" style="270" customWidth="1"/>
    <col min="1283" max="1283" width="8.109375" style="270" customWidth="1"/>
    <col min="1284" max="1284" width="10.44140625" style="270" customWidth="1"/>
    <col min="1285" max="1285" width="7.109375" style="270" customWidth="1"/>
    <col min="1286" max="1286" width="13.6640625" style="270" customWidth="1"/>
    <col min="1287" max="1287" width="14.109375" style="270" customWidth="1"/>
    <col min="1288" max="1536" width="11.5546875" style="270"/>
    <col min="1537" max="1537" width="7.44140625" style="270" customWidth="1"/>
    <col min="1538" max="1538" width="58.88671875" style="270" customWidth="1"/>
    <col min="1539" max="1539" width="8.109375" style="270" customWidth="1"/>
    <col min="1540" max="1540" width="10.44140625" style="270" customWidth="1"/>
    <col min="1541" max="1541" width="7.109375" style="270" customWidth="1"/>
    <col min="1542" max="1542" width="13.6640625" style="270" customWidth="1"/>
    <col min="1543" max="1543" width="14.109375" style="270" customWidth="1"/>
    <col min="1544" max="1792" width="11.5546875" style="270"/>
    <col min="1793" max="1793" width="7.44140625" style="270" customWidth="1"/>
    <col min="1794" max="1794" width="58.88671875" style="270" customWidth="1"/>
    <col min="1795" max="1795" width="8.109375" style="270" customWidth="1"/>
    <col min="1796" max="1796" width="10.44140625" style="270" customWidth="1"/>
    <col min="1797" max="1797" width="7.109375" style="270" customWidth="1"/>
    <col min="1798" max="1798" width="13.6640625" style="270" customWidth="1"/>
    <col min="1799" max="1799" width="14.109375" style="270" customWidth="1"/>
    <col min="1800" max="2048" width="11.5546875" style="270"/>
    <col min="2049" max="2049" width="7.44140625" style="270" customWidth="1"/>
    <col min="2050" max="2050" width="58.88671875" style="270" customWidth="1"/>
    <col min="2051" max="2051" width="8.109375" style="270" customWidth="1"/>
    <col min="2052" max="2052" width="10.44140625" style="270" customWidth="1"/>
    <col min="2053" max="2053" width="7.109375" style="270" customWidth="1"/>
    <col min="2054" max="2054" width="13.6640625" style="270" customWidth="1"/>
    <col min="2055" max="2055" width="14.109375" style="270" customWidth="1"/>
    <col min="2056" max="2304" width="11.5546875" style="270"/>
    <col min="2305" max="2305" width="7.44140625" style="270" customWidth="1"/>
    <col min="2306" max="2306" width="58.88671875" style="270" customWidth="1"/>
    <col min="2307" max="2307" width="8.109375" style="270" customWidth="1"/>
    <col min="2308" max="2308" width="10.44140625" style="270" customWidth="1"/>
    <col min="2309" max="2309" width="7.109375" style="270" customWidth="1"/>
    <col min="2310" max="2310" width="13.6640625" style="270" customWidth="1"/>
    <col min="2311" max="2311" width="14.109375" style="270" customWidth="1"/>
    <col min="2312" max="2560" width="11.5546875" style="270"/>
    <col min="2561" max="2561" width="7.44140625" style="270" customWidth="1"/>
    <col min="2562" max="2562" width="58.88671875" style="270" customWidth="1"/>
    <col min="2563" max="2563" width="8.109375" style="270" customWidth="1"/>
    <col min="2564" max="2564" width="10.44140625" style="270" customWidth="1"/>
    <col min="2565" max="2565" width="7.109375" style="270" customWidth="1"/>
    <col min="2566" max="2566" width="13.6640625" style="270" customWidth="1"/>
    <col min="2567" max="2567" width="14.109375" style="270" customWidth="1"/>
    <col min="2568" max="2816" width="11.5546875" style="270"/>
    <col min="2817" max="2817" width="7.44140625" style="270" customWidth="1"/>
    <col min="2818" max="2818" width="58.88671875" style="270" customWidth="1"/>
    <col min="2819" max="2819" width="8.109375" style="270" customWidth="1"/>
    <col min="2820" max="2820" width="10.44140625" style="270" customWidth="1"/>
    <col min="2821" max="2821" width="7.109375" style="270" customWidth="1"/>
    <col min="2822" max="2822" width="13.6640625" style="270" customWidth="1"/>
    <col min="2823" max="2823" width="14.109375" style="270" customWidth="1"/>
    <col min="2824" max="3072" width="11.5546875" style="270"/>
    <col min="3073" max="3073" width="7.44140625" style="270" customWidth="1"/>
    <col min="3074" max="3074" width="58.88671875" style="270" customWidth="1"/>
    <col min="3075" max="3075" width="8.109375" style="270" customWidth="1"/>
    <col min="3076" max="3076" width="10.44140625" style="270" customWidth="1"/>
    <col min="3077" max="3077" width="7.109375" style="270" customWidth="1"/>
    <col min="3078" max="3078" width="13.6640625" style="270" customWidth="1"/>
    <col min="3079" max="3079" width="14.109375" style="270" customWidth="1"/>
    <col min="3080" max="3328" width="11.5546875" style="270"/>
    <col min="3329" max="3329" width="7.44140625" style="270" customWidth="1"/>
    <col min="3330" max="3330" width="58.88671875" style="270" customWidth="1"/>
    <col min="3331" max="3331" width="8.109375" style="270" customWidth="1"/>
    <col min="3332" max="3332" width="10.44140625" style="270" customWidth="1"/>
    <col min="3333" max="3333" width="7.109375" style="270" customWidth="1"/>
    <col min="3334" max="3334" width="13.6640625" style="270" customWidth="1"/>
    <col min="3335" max="3335" width="14.109375" style="270" customWidth="1"/>
    <col min="3336" max="3584" width="11.5546875" style="270"/>
    <col min="3585" max="3585" width="7.44140625" style="270" customWidth="1"/>
    <col min="3586" max="3586" width="58.88671875" style="270" customWidth="1"/>
    <col min="3587" max="3587" width="8.109375" style="270" customWidth="1"/>
    <col min="3588" max="3588" width="10.44140625" style="270" customWidth="1"/>
    <col min="3589" max="3589" width="7.109375" style="270" customWidth="1"/>
    <col min="3590" max="3590" width="13.6640625" style="270" customWidth="1"/>
    <col min="3591" max="3591" width="14.109375" style="270" customWidth="1"/>
    <col min="3592" max="3840" width="11.5546875" style="270"/>
    <col min="3841" max="3841" width="7.44140625" style="270" customWidth="1"/>
    <col min="3842" max="3842" width="58.88671875" style="270" customWidth="1"/>
    <col min="3843" max="3843" width="8.109375" style="270" customWidth="1"/>
    <col min="3844" max="3844" width="10.44140625" style="270" customWidth="1"/>
    <col min="3845" max="3845" width="7.109375" style="270" customWidth="1"/>
    <col min="3846" max="3846" width="13.6640625" style="270" customWidth="1"/>
    <col min="3847" max="3847" width="14.109375" style="270" customWidth="1"/>
    <col min="3848" max="4096" width="11.5546875" style="270"/>
    <col min="4097" max="4097" width="7.44140625" style="270" customWidth="1"/>
    <col min="4098" max="4098" width="58.88671875" style="270" customWidth="1"/>
    <col min="4099" max="4099" width="8.109375" style="270" customWidth="1"/>
    <col min="4100" max="4100" width="10.44140625" style="270" customWidth="1"/>
    <col min="4101" max="4101" width="7.109375" style="270" customWidth="1"/>
    <col min="4102" max="4102" width="13.6640625" style="270" customWidth="1"/>
    <col min="4103" max="4103" width="14.109375" style="270" customWidth="1"/>
    <col min="4104" max="4352" width="11.5546875" style="270"/>
    <col min="4353" max="4353" width="7.44140625" style="270" customWidth="1"/>
    <col min="4354" max="4354" width="58.88671875" style="270" customWidth="1"/>
    <col min="4355" max="4355" width="8.109375" style="270" customWidth="1"/>
    <col min="4356" max="4356" width="10.44140625" style="270" customWidth="1"/>
    <col min="4357" max="4357" width="7.109375" style="270" customWidth="1"/>
    <col min="4358" max="4358" width="13.6640625" style="270" customWidth="1"/>
    <col min="4359" max="4359" width="14.109375" style="270" customWidth="1"/>
    <col min="4360" max="4608" width="11.5546875" style="270"/>
    <col min="4609" max="4609" width="7.44140625" style="270" customWidth="1"/>
    <col min="4610" max="4610" width="58.88671875" style="270" customWidth="1"/>
    <col min="4611" max="4611" width="8.109375" style="270" customWidth="1"/>
    <col min="4612" max="4612" width="10.44140625" style="270" customWidth="1"/>
    <col min="4613" max="4613" width="7.109375" style="270" customWidth="1"/>
    <col min="4614" max="4614" width="13.6640625" style="270" customWidth="1"/>
    <col min="4615" max="4615" width="14.109375" style="270" customWidth="1"/>
    <col min="4616" max="4864" width="11.5546875" style="270"/>
    <col min="4865" max="4865" width="7.44140625" style="270" customWidth="1"/>
    <col min="4866" max="4866" width="58.88671875" style="270" customWidth="1"/>
    <col min="4867" max="4867" width="8.109375" style="270" customWidth="1"/>
    <col min="4868" max="4868" width="10.44140625" style="270" customWidth="1"/>
    <col min="4869" max="4869" width="7.109375" style="270" customWidth="1"/>
    <col min="4870" max="4870" width="13.6640625" style="270" customWidth="1"/>
    <col min="4871" max="4871" width="14.109375" style="270" customWidth="1"/>
    <col min="4872" max="5120" width="11.5546875" style="270"/>
    <col min="5121" max="5121" width="7.44140625" style="270" customWidth="1"/>
    <col min="5122" max="5122" width="58.88671875" style="270" customWidth="1"/>
    <col min="5123" max="5123" width="8.109375" style="270" customWidth="1"/>
    <col min="5124" max="5124" width="10.44140625" style="270" customWidth="1"/>
    <col min="5125" max="5125" width="7.109375" style="270" customWidth="1"/>
    <col min="5126" max="5126" width="13.6640625" style="270" customWidth="1"/>
    <col min="5127" max="5127" width="14.109375" style="270" customWidth="1"/>
    <col min="5128" max="5376" width="11.5546875" style="270"/>
    <col min="5377" max="5377" width="7.44140625" style="270" customWidth="1"/>
    <col min="5378" max="5378" width="58.88671875" style="270" customWidth="1"/>
    <col min="5379" max="5379" width="8.109375" style="270" customWidth="1"/>
    <col min="5380" max="5380" width="10.44140625" style="270" customWidth="1"/>
    <col min="5381" max="5381" width="7.109375" style="270" customWidth="1"/>
    <col min="5382" max="5382" width="13.6640625" style="270" customWidth="1"/>
    <col min="5383" max="5383" width="14.109375" style="270" customWidth="1"/>
    <col min="5384" max="5632" width="11.5546875" style="270"/>
    <col min="5633" max="5633" width="7.44140625" style="270" customWidth="1"/>
    <col min="5634" max="5634" width="58.88671875" style="270" customWidth="1"/>
    <col min="5635" max="5635" width="8.109375" style="270" customWidth="1"/>
    <col min="5636" max="5636" width="10.44140625" style="270" customWidth="1"/>
    <col min="5637" max="5637" width="7.109375" style="270" customWidth="1"/>
    <col min="5638" max="5638" width="13.6640625" style="270" customWidth="1"/>
    <col min="5639" max="5639" width="14.109375" style="270" customWidth="1"/>
    <col min="5640" max="5888" width="11.5546875" style="270"/>
    <col min="5889" max="5889" width="7.44140625" style="270" customWidth="1"/>
    <col min="5890" max="5890" width="58.88671875" style="270" customWidth="1"/>
    <col min="5891" max="5891" width="8.109375" style="270" customWidth="1"/>
    <col min="5892" max="5892" width="10.44140625" style="270" customWidth="1"/>
    <col min="5893" max="5893" width="7.109375" style="270" customWidth="1"/>
    <col min="5894" max="5894" width="13.6640625" style="270" customWidth="1"/>
    <col min="5895" max="5895" width="14.109375" style="270" customWidth="1"/>
    <col min="5896" max="6144" width="11.5546875" style="270"/>
    <col min="6145" max="6145" width="7.44140625" style="270" customWidth="1"/>
    <col min="6146" max="6146" width="58.88671875" style="270" customWidth="1"/>
    <col min="6147" max="6147" width="8.109375" style="270" customWidth="1"/>
    <col min="6148" max="6148" width="10.44140625" style="270" customWidth="1"/>
    <col min="6149" max="6149" width="7.109375" style="270" customWidth="1"/>
    <col min="6150" max="6150" width="13.6640625" style="270" customWidth="1"/>
    <col min="6151" max="6151" width="14.109375" style="270" customWidth="1"/>
    <col min="6152" max="6400" width="11.5546875" style="270"/>
    <col min="6401" max="6401" width="7.44140625" style="270" customWidth="1"/>
    <col min="6402" max="6402" width="58.88671875" style="270" customWidth="1"/>
    <col min="6403" max="6403" width="8.109375" style="270" customWidth="1"/>
    <col min="6404" max="6404" width="10.44140625" style="270" customWidth="1"/>
    <col min="6405" max="6405" width="7.109375" style="270" customWidth="1"/>
    <col min="6406" max="6406" width="13.6640625" style="270" customWidth="1"/>
    <col min="6407" max="6407" width="14.109375" style="270" customWidth="1"/>
    <col min="6408" max="6656" width="11.5546875" style="270"/>
    <col min="6657" max="6657" width="7.44140625" style="270" customWidth="1"/>
    <col min="6658" max="6658" width="58.88671875" style="270" customWidth="1"/>
    <col min="6659" max="6659" width="8.109375" style="270" customWidth="1"/>
    <col min="6660" max="6660" width="10.44140625" style="270" customWidth="1"/>
    <col min="6661" max="6661" width="7.109375" style="270" customWidth="1"/>
    <col min="6662" max="6662" width="13.6640625" style="270" customWidth="1"/>
    <col min="6663" max="6663" width="14.109375" style="270" customWidth="1"/>
    <col min="6664" max="6912" width="11.5546875" style="270"/>
    <col min="6913" max="6913" width="7.44140625" style="270" customWidth="1"/>
    <col min="6914" max="6914" width="58.88671875" style="270" customWidth="1"/>
    <col min="6915" max="6915" width="8.109375" style="270" customWidth="1"/>
    <col min="6916" max="6916" width="10.44140625" style="270" customWidth="1"/>
    <col min="6917" max="6917" width="7.109375" style="270" customWidth="1"/>
    <col min="6918" max="6918" width="13.6640625" style="270" customWidth="1"/>
    <col min="6919" max="6919" width="14.109375" style="270" customWidth="1"/>
    <col min="6920" max="7168" width="11.5546875" style="270"/>
    <col min="7169" max="7169" width="7.44140625" style="270" customWidth="1"/>
    <col min="7170" max="7170" width="58.88671875" style="270" customWidth="1"/>
    <col min="7171" max="7171" width="8.109375" style="270" customWidth="1"/>
    <col min="7172" max="7172" width="10.44140625" style="270" customWidth="1"/>
    <col min="7173" max="7173" width="7.109375" style="270" customWidth="1"/>
    <col min="7174" max="7174" width="13.6640625" style="270" customWidth="1"/>
    <col min="7175" max="7175" width="14.109375" style="270" customWidth="1"/>
    <col min="7176" max="7424" width="11.5546875" style="270"/>
    <col min="7425" max="7425" width="7.44140625" style="270" customWidth="1"/>
    <col min="7426" max="7426" width="58.88671875" style="270" customWidth="1"/>
    <col min="7427" max="7427" width="8.109375" style="270" customWidth="1"/>
    <col min="7428" max="7428" width="10.44140625" style="270" customWidth="1"/>
    <col min="7429" max="7429" width="7.109375" style="270" customWidth="1"/>
    <col min="7430" max="7430" width="13.6640625" style="270" customWidth="1"/>
    <col min="7431" max="7431" width="14.109375" style="270" customWidth="1"/>
    <col min="7432" max="7680" width="11.5546875" style="270"/>
    <col min="7681" max="7681" width="7.44140625" style="270" customWidth="1"/>
    <col min="7682" max="7682" width="58.88671875" style="270" customWidth="1"/>
    <col min="7683" max="7683" width="8.109375" style="270" customWidth="1"/>
    <col min="7684" max="7684" width="10.44140625" style="270" customWidth="1"/>
    <col min="7685" max="7685" width="7.109375" style="270" customWidth="1"/>
    <col min="7686" max="7686" width="13.6640625" style="270" customWidth="1"/>
    <col min="7687" max="7687" width="14.109375" style="270" customWidth="1"/>
    <col min="7688" max="7936" width="11.5546875" style="270"/>
    <col min="7937" max="7937" width="7.44140625" style="270" customWidth="1"/>
    <col min="7938" max="7938" width="58.88671875" style="270" customWidth="1"/>
    <col min="7939" max="7939" width="8.109375" style="270" customWidth="1"/>
    <col min="7940" max="7940" width="10.44140625" style="270" customWidth="1"/>
    <col min="7941" max="7941" width="7.109375" style="270" customWidth="1"/>
    <col min="7942" max="7942" width="13.6640625" style="270" customWidth="1"/>
    <col min="7943" max="7943" width="14.109375" style="270" customWidth="1"/>
    <col min="7944" max="8192" width="11.5546875" style="270"/>
    <col min="8193" max="8193" width="7.44140625" style="270" customWidth="1"/>
    <col min="8194" max="8194" width="58.88671875" style="270" customWidth="1"/>
    <col min="8195" max="8195" width="8.109375" style="270" customWidth="1"/>
    <col min="8196" max="8196" width="10.44140625" style="270" customWidth="1"/>
    <col min="8197" max="8197" width="7.109375" style="270" customWidth="1"/>
    <col min="8198" max="8198" width="13.6640625" style="270" customWidth="1"/>
    <col min="8199" max="8199" width="14.109375" style="270" customWidth="1"/>
    <col min="8200" max="8448" width="11.5546875" style="270"/>
    <col min="8449" max="8449" width="7.44140625" style="270" customWidth="1"/>
    <col min="8450" max="8450" width="58.88671875" style="270" customWidth="1"/>
    <col min="8451" max="8451" width="8.109375" style="270" customWidth="1"/>
    <col min="8452" max="8452" width="10.44140625" style="270" customWidth="1"/>
    <col min="8453" max="8453" width="7.109375" style="270" customWidth="1"/>
    <col min="8454" max="8454" width="13.6640625" style="270" customWidth="1"/>
    <col min="8455" max="8455" width="14.109375" style="270" customWidth="1"/>
    <col min="8456" max="8704" width="11.5546875" style="270"/>
    <col min="8705" max="8705" width="7.44140625" style="270" customWidth="1"/>
    <col min="8706" max="8706" width="58.88671875" style="270" customWidth="1"/>
    <col min="8707" max="8707" width="8.109375" style="270" customWidth="1"/>
    <col min="8708" max="8708" width="10.44140625" style="270" customWidth="1"/>
    <col min="8709" max="8709" width="7.109375" style="270" customWidth="1"/>
    <col min="8710" max="8710" width="13.6640625" style="270" customWidth="1"/>
    <col min="8711" max="8711" width="14.109375" style="270" customWidth="1"/>
    <col min="8712" max="8960" width="11.5546875" style="270"/>
    <col min="8961" max="8961" width="7.44140625" style="270" customWidth="1"/>
    <col min="8962" max="8962" width="58.88671875" style="270" customWidth="1"/>
    <col min="8963" max="8963" width="8.109375" style="270" customWidth="1"/>
    <col min="8964" max="8964" width="10.44140625" style="270" customWidth="1"/>
    <col min="8965" max="8965" width="7.109375" style="270" customWidth="1"/>
    <col min="8966" max="8966" width="13.6640625" style="270" customWidth="1"/>
    <col min="8967" max="8967" width="14.109375" style="270" customWidth="1"/>
    <col min="8968" max="9216" width="11.5546875" style="270"/>
    <col min="9217" max="9217" width="7.44140625" style="270" customWidth="1"/>
    <col min="9218" max="9218" width="58.88671875" style="270" customWidth="1"/>
    <col min="9219" max="9219" width="8.109375" style="270" customWidth="1"/>
    <col min="9220" max="9220" width="10.44140625" style="270" customWidth="1"/>
    <col min="9221" max="9221" width="7.109375" style="270" customWidth="1"/>
    <col min="9222" max="9222" width="13.6640625" style="270" customWidth="1"/>
    <col min="9223" max="9223" width="14.109375" style="270" customWidth="1"/>
    <col min="9224" max="9472" width="11.5546875" style="270"/>
    <col min="9473" max="9473" width="7.44140625" style="270" customWidth="1"/>
    <col min="9474" max="9474" width="58.88671875" style="270" customWidth="1"/>
    <col min="9475" max="9475" width="8.109375" style="270" customWidth="1"/>
    <col min="9476" max="9476" width="10.44140625" style="270" customWidth="1"/>
    <col min="9477" max="9477" width="7.109375" style="270" customWidth="1"/>
    <col min="9478" max="9478" width="13.6640625" style="270" customWidth="1"/>
    <col min="9479" max="9479" width="14.109375" style="270" customWidth="1"/>
    <col min="9480" max="9728" width="11.5546875" style="270"/>
    <col min="9729" max="9729" width="7.44140625" style="270" customWidth="1"/>
    <col min="9730" max="9730" width="58.88671875" style="270" customWidth="1"/>
    <col min="9731" max="9731" width="8.109375" style="270" customWidth="1"/>
    <col min="9732" max="9732" width="10.44140625" style="270" customWidth="1"/>
    <col min="9733" max="9733" width="7.109375" style="270" customWidth="1"/>
    <col min="9734" max="9734" width="13.6640625" style="270" customWidth="1"/>
    <col min="9735" max="9735" width="14.109375" style="270" customWidth="1"/>
    <col min="9736" max="9984" width="11.5546875" style="270"/>
    <col min="9985" max="9985" width="7.44140625" style="270" customWidth="1"/>
    <col min="9986" max="9986" width="58.88671875" style="270" customWidth="1"/>
    <col min="9987" max="9987" width="8.109375" style="270" customWidth="1"/>
    <col min="9988" max="9988" width="10.44140625" style="270" customWidth="1"/>
    <col min="9989" max="9989" width="7.109375" style="270" customWidth="1"/>
    <col min="9990" max="9990" width="13.6640625" style="270" customWidth="1"/>
    <col min="9991" max="9991" width="14.109375" style="270" customWidth="1"/>
    <col min="9992" max="10240" width="11.5546875" style="270"/>
    <col min="10241" max="10241" width="7.44140625" style="270" customWidth="1"/>
    <col min="10242" max="10242" width="58.88671875" style="270" customWidth="1"/>
    <col min="10243" max="10243" width="8.109375" style="270" customWidth="1"/>
    <col min="10244" max="10244" width="10.44140625" style="270" customWidth="1"/>
    <col min="10245" max="10245" width="7.109375" style="270" customWidth="1"/>
    <col min="10246" max="10246" width="13.6640625" style="270" customWidth="1"/>
    <col min="10247" max="10247" width="14.109375" style="270" customWidth="1"/>
    <col min="10248" max="10496" width="11.5546875" style="270"/>
    <col min="10497" max="10497" width="7.44140625" style="270" customWidth="1"/>
    <col min="10498" max="10498" width="58.88671875" style="270" customWidth="1"/>
    <col min="10499" max="10499" width="8.109375" style="270" customWidth="1"/>
    <col min="10500" max="10500" width="10.44140625" style="270" customWidth="1"/>
    <col min="10501" max="10501" width="7.109375" style="270" customWidth="1"/>
    <col min="10502" max="10502" width="13.6640625" style="270" customWidth="1"/>
    <col min="10503" max="10503" width="14.109375" style="270" customWidth="1"/>
    <col min="10504" max="10752" width="11.5546875" style="270"/>
    <col min="10753" max="10753" width="7.44140625" style="270" customWidth="1"/>
    <col min="10754" max="10754" width="58.88671875" style="270" customWidth="1"/>
    <col min="10755" max="10755" width="8.109375" style="270" customWidth="1"/>
    <col min="10756" max="10756" width="10.44140625" style="270" customWidth="1"/>
    <col min="10757" max="10757" width="7.109375" style="270" customWidth="1"/>
    <col min="10758" max="10758" width="13.6640625" style="270" customWidth="1"/>
    <col min="10759" max="10759" width="14.109375" style="270" customWidth="1"/>
    <col min="10760" max="11008" width="11.5546875" style="270"/>
    <col min="11009" max="11009" width="7.44140625" style="270" customWidth="1"/>
    <col min="11010" max="11010" width="58.88671875" style="270" customWidth="1"/>
    <col min="11011" max="11011" width="8.109375" style="270" customWidth="1"/>
    <col min="11012" max="11012" width="10.44140625" style="270" customWidth="1"/>
    <col min="11013" max="11013" width="7.109375" style="270" customWidth="1"/>
    <col min="11014" max="11014" width="13.6640625" style="270" customWidth="1"/>
    <col min="11015" max="11015" width="14.109375" style="270" customWidth="1"/>
    <col min="11016" max="11264" width="11.5546875" style="270"/>
    <col min="11265" max="11265" width="7.44140625" style="270" customWidth="1"/>
    <col min="11266" max="11266" width="58.88671875" style="270" customWidth="1"/>
    <col min="11267" max="11267" width="8.109375" style="270" customWidth="1"/>
    <col min="11268" max="11268" width="10.44140625" style="270" customWidth="1"/>
    <col min="11269" max="11269" width="7.109375" style="270" customWidth="1"/>
    <col min="11270" max="11270" width="13.6640625" style="270" customWidth="1"/>
    <col min="11271" max="11271" width="14.109375" style="270" customWidth="1"/>
    <col min="11272" max="11520" width="11.5546875" style="270"/>
    <col min="11521" max="11521" width="7.44140625" style="270" customWidth="1"/>
    <col min="11522" max="11522" width="58.88671875" style="270" customWidth="1"/>
    <col min="11523" max="11523" width="8.109375" style="270" customWidth="1"/>
    <col min="11524" max="11524" width="10.44140625" style="270" customWidth="1"/>
    <col min="11525" max="11525" width="7.109375" style="270" customWidth="1"/>
    <col min="11526" max="11526" width="13.6640625" style="270" customWidth="1"/>
    <col min="11527" max="11527" width="14.109375" style="270" customWidth="1"/>
    <col min="11528" max="11776" width="11.5546875" style="270"/>
    <col min="11777" max="11777" width="7.44140625" style="270" customWidth="1"/>
    <col min="11778" max="11778" width="58.88671875" style="270" customWidth="1"/>
    <col min="11779" max="11779" width="8.109375" style="270" customWidth="1"/>
    <col min="11780" max="11780" width="10.44140625" style="270" customWidth="1"/>
    <col min="11781" max="11781" width="7.109375" style="270" customWidth="1"/>
    <col min="11782" max="11782" width="13.6640625" style="270" customWidth="1"/>
    <col min="11783" max="11783" width="14.109375" style="270" customWidth="1"/>
    <col min="11784" max="12032" width="11.5546875" style="270"/>
    <col min="12033" max="12033" width="7.44140625" style="270" customWidth="1"/>
    <col min="12034" max="12034" width="58.88671875" style="270" customWidth="1"/>
    <col min="12035" max="12035" width="8.109375" style="270" customWidth="1"/>
    <col min="12036" max="12036" width="10.44140625" style="270" customWidth="1"/>
    <col min="12037" max="12037" width="7.109375" style="270" customWidth="1"/>
    <col min="12038" max="12038" width="13.6640625" style="270" customWidth="1"/>
    <col min="12039" max="12039" width="14.109375" style="270" customWidth="1"/>
    <col min="12040" max="12288" width="11.5546875" style="270"/>
    <col min="12289" max="12289" width="7.44140625" style="270" customWidth="1"/>
    <col min="12290" max="12290" width="58.88671875" style="270" customWidth="1"/>
    <col min="12291" max="12291" width="8.109375" style="270" customWidth="1"/>
    <col min="12292" max="12292" width="10.44140625" style="270" customWidth="1"/>
    <col min="12293" max="12293" width="7.109375" style="270" customWidth="1"/>
    <col min="12294" max="12294" width="13.6640625" style="270" customWidth="1"/>
    <col min="12295" max="12295" width="14.109375" style="270" customWidth="1"/>
    <col min="12296" max="12544" width="11.5546875" style="270"/>
    <col min="12545" max="12545" width="7.44140625" style="270" customWidth="1"/>
    <col min="12546" max="12546" width="58.88671875" style="270" customWidth="1"/>
    <col min="12547" max="12547" width="8.109375" style="270" customWidth="1"/>
    <col min="12548" max="12548" width="10.44140625" style="270" customWidth="1"/>
    <col min="12549" max="12549" width="7.109375" style="270" customWidth="1"/>
    <col min="12550" max="12550" width="13.6640625" style="270" customWidth="1"/>
    <col min="12551" max="12551" width="14.109375" style="270" customWidth="1"/>
    <col min="12552" max="12800" width="11.5546875" style="270"/>
    <col min="12801" max="12801" width="7.44140625" style="270" customWidth="1"/>
    <col min="12802" max="12802" width="58.88671875" style="270" customWidth="1"/>
    <col min="12803" max="12803" width="8.109375" style="270" customWidth="1"/>
    <col min="12804" max="12804" width="10.44140625" style="270" customWidth="1"/>
    <col min="12805" max="12805" width="7.109375" style="270" customWidth="1"/>
    <col min="12806" max="12806" width="13.6640625" style="270" customWidth="1"/>
    <col min="12807" max="12807" width="14.109375" style="270" customWidth="1"/>
    <col min="12808" max="13056" width="11.5546875" style="270"/>
    <col min="13057" max="13057" width="7.44140625" style="270" customWidth="1"/>
    <col min="13058" max="13058" width="58.88671875" style="270" customWidth="1"/>
    <col min="13059" max="13059" width="8.109375" style="270" customWidth="1"/>
    <col min="13060" max="13060" width="10.44140625" style="270" customWidth="1"/>
    <col min="13061" max="13061" width="7.109375" style="270" customWidth="1"/>
    <col min="13062" max="13062" width="13.6640625" style="270" customWidth="1"/>
    <col min="13063" max="13063" width="14.109375" style="270" customWidth="1"/>
    <col min="13064" max="13312" width="11.5546875" style="270"/>
    <col min="13313" max="13313" width="7.44140625" style="270" customWidth="1"/>
    <col min="13314" max="13314" width="58.88671875" style="270" customWidth="1"/>
    <col min="13315" max="13315" width="8.109375" style="270" customWidth="1"/>
    <col min="13316" max="13316" width="10.44140625" style="270" customWidth="1"/>
    <col min="13317" max="13317" width="7.109375" style="270" customWidth="1"/>
    <col min="13318" max="13318" width="13.6640625" style="270" customWidth="1"/>
    <col min="13319" max="13319" width="14.109375" style="270" customWidth="1"/>
    <col min="13320" max="13568" width="11.5546875" style="270"/>
    <col min="13569" max="13569" width="7.44140625" style="270" customWidth="1"/>
    <col min="13570" max="13570" width="58.88671875" style="270" customWidth="1"/>
    <col min="13571" max="13571" width="8.109375" style="270" customWidth="1"/>
    <col min="13572" max="13572" width="10.44140625" style="270" customWidth="1"/>
    <col min="13573" max="13573" width="7.109375" style="270" customWidth="1"/>
    <col min="13574" max="13574" width="13.6640625" style="270" customWidth="1"/>
    <col min="13575" max="13575" width="14.109375" style="270" customWidth="1"/>
    <col min="13576" max="13824" width="11.5546875" style="270"/>
    <col min="13825" max="13825" width="7.44140625" style="270" customWidth="1"/>
    <col min="13826" max="13826" width="58.88671875" style="270" customWidth="1"/>
    <col min="13827" max="13827" width="8.109375" style="270" customWidth="1"/>
    <col min="13828" max="13828" width="10.44140625" style="270" customWidth="1"/>
    <col min="13829" max="13829" width="7.109375" style="270" customWidth="1"/>
    <col min="13830" max="13830" width="13.6640625" style="270" customWidth="1"/>
    <col min="13831" max="13831" width="14.109375" style="270" customWidth="1"/>
    <col min="13832" max="14080" width="11.5546875" style="270"/>
    <col min="14081" max="14081" width="7.44140625" style="270" customWidth="1"/>
    <col min="14082" max="14082" width="58.88671875" style="270" customWidth="1"/>
    <col min="14083" max="14083" width="8.109375" style="270" customWidth="1"/>
    <col min="14084" max="14084" width="10.44140625" style="270" customWidth="1"/>
    <col min="14085" max="14085" width="7.109375" style="270" customWidth="1"/>
    <col min="14086" max="14086" width="13.6640625" style="270" customWidth="1"/>
    <col min="14087" max="14087" width="14.109375" style="270" customWidth="1"/>
    <col min="14088" max="14336" width="11.5546875" style="270"/>
    <col min="14337" max="14337" width="7.44140625" style="270" customWidth="1"/>
    <col min="14338" max="14338" width="58.88671875" style="270" customWidth="1"/>
    <col min="14339" max="14339" width="8.109375" style="270" customWidth="1"/>
    <col min="14340" max="14340" width="10.44140625" style="270" customWidth="1"/>
    <col min="14341" max="14341" width="7.109375" style="270" customWidth="1"/>
    <col min="14342" max="14342" width="13.6640625" style="270" customWidth="1"/>
    <col min="14343" max="14343" width="14.109375" style="270" customWidth="1"/>
    <col min="14344" max="14592" width="11.5546875" style="270"/>
    <col min="14593" max="14593" width="7.44140625" style="270" customWidth="1"/>
    <col min="14594" max="14594" width="58.88671875" style="270" customWidth="1"/>
    <col min="14595" max="14595" width="8.109375" style="270" customWidth="1"/>
    <col min="14596" max="14596" width="10.44140625" style="270" customWidth="1"/>
    <col min="14597" max="14597" width="7.109375" style="270" customWidth="1"/>
    <col min="14598" max="14598" width="13.6640625" style="270" customWidth="1"/>
    <col min="14599" max="14599" width="14.109375" style="270" customWidth="1"/>
    <col min="14600" max="14848" width="11.5546875" style="270"/>
    <col min="14849" max="14849" width="7.44140625" style="270" customWidth="1"/>
    <col min="14850" max="14850" width="58.88671875" style="270" customWidth="1"/>
    <col min="14851" max="14851" width="8.109375" style="270" customWidth="1"/>
    <col min="14852" max="14852" width="10.44140625" style="270" customWidth="1"/>
    <col min="14853" max="14853" width="7.109375" style="270" customWidth="1"/>
    <col min="14854" max="14854" width="13.6640625" style="270" customWidth="1"/>
    <col min="14855" max="14855" width="14.109375" style="270" customWidth="1"/>
    <col min="14856" max="15104" width="11.5546875" style="270"/>
    <col min="15105" max="15105" width="7.44140625" style="270" customWidth="1"/>
    <col min="15106" max="15106" width="58.88671875" style="270" customWidth="1"/>
    <col min="15107" max="15107" width="8.109375" style="270" customWidth="1"/>
    <col min="15108" max="15108" width="10.44140625" style="270" customWidth="1"/>
    <col min="15109" max="15109" width="7.109375" style="270" customWidth="1"/>
    <col min="15110" max="15110" width="13.6640625" style="270" customWidth="1"/>
    <col min="15111" max="15111" width="14.109375" style="270" customWidth="1"/>
    <col min="15112" max="15360" width="11.5546875" style="270"/>
    <col min="15361" max="15361" width="7.44140625" style="270" customWidth="1"/>
    <col min="15362" max="15362" width="58.88671875" style="270" customWidth="1"/>
    <col min="15363" max="15363" width="8.109375" style="270" customWidth="1"/>
    <col min="15364" max="15364" width="10.44140625" style="270" customWidth="1"/>
    <col min="15365" max="15365" width="7.109375" style="270" customWidth="1"/>
    <col min="15366" max="15366" width="13.6640625" style="270" customWidth="1"/>
    <col min="15367" max="15367" width="14.109375" style="270" customWidth="1"/>
    <col min="15368" max="15616" width="11.5546875" style="270"/>
    <col min="15617" max="15617" width="7.44140625" style="270" customWidth="1"/>
    <col min="15618" max="15618" width="58.88671875" style="270" customWidth="1"/>
    <col min="15619" max="15619" width="8.109375" style="270" customWidth="1"/>
    <col min="15620" max="15620" width="10.44140625" style="270" customWidth="1"/>
    <col min="15621" max="15621" width="7.109375" style="270" customWidth="1"/>
    <col min="15622" max="15622" width="13.6640625" style="270" customWidth="1"/>
    <col min="15623" max="15623" width="14.109375" style="270" customWidth="1"/>
    <col min="15624" max="15872" width="11.5546875" style="270"/>
    <col min="15873" max="15873" width="7.44140625" style="270" customWidth="1"/>
    <col min="15874" max="15874" width="58.88671875" style="270" customWidth="1"/>
    <col min="15875" max="15875" width="8.109375" style="270" customWidth="1"/>
    <col min="15876" max="15876" width="10.44140625" style="270" customWidth="1"/>
    <col min="15877" max="15877" width="7.109375" style="270" customWidth="1"/>
    <col min="15878" max="15878" width="13.6640625" style="270" customWidth="1"/>
    <col min="15879" max="15879" width="14.109375" style="270" customWidth="1"/>
    <col min="15880" max="16128" width="11.5546875" style="270"/>
    <col min="16129" max="16129" width="7.44140625" style="270" customWidth="1"/>
    <col min="16130" max="16130" width="58.88671875" style="270" customWidth="1"/>
    <col min="16131" max="16131" width="8.109375" style="270" customWidth="1"/>
    <col min="16132" max="16132" width="10.44140625" style="270" customWidth="1"/>
    <col min="16133" max="16133" width="7.109375" style="270" customWidth="1"/>
    <col min="16134" max="16134" width="13.6640625" style="270" customWidth="1"/>
    <col min="16135" max="16135" width="14.109375" style="270" customWidth="1"/>
    <col min="16136" max="16384" width="11.5546875" style="270"/>
  </cols>
  <sheetData>
    <row r="1" spans="1:7" ht="24.75" customHeight="1" x14ac:dyDescent="0.3">
      <c r="A1" s="909" t="s">
        <v>440</v>
      </c>
      <c r="B1" s="910"/>
      <c r="C1" s="910"/>
      <c r="D1" s="910"/>
      <c r="E1" s="910"/>
      <c r="F1" s="910"/>
      <c r="G1" s="911"/>
    </row>
    <row r="2" spans="1:7" ht="19.2" customHeight="1" x14ac:dyDescent="0.3">
      <c r="A2" s="271"/>
      <c r="B2" s="272"/>
      <c r="C2" s="273"/>
      <c r="D2" s="273"/>
      <c r="E2" s="273"/>
      <c r="F2" s="912" t="s">
        <v>441</v>
      </c>
      <c r="G2" s="913"/>
    </row>
    <row r="3" spans="1:7" ht="31.5" customHeight="1" thickBot="1" x14ac:dyDescent="0.35">
      <c r="A3" s="274" t="s">
        <v>132</v>
      </c>
      <c r="B3" s="275" t="s">
        <v>133</v>
      </c>
      <c r="C3" s="276" t="s">
        <v>134</v>
      </c>
      <c r="D3" s="276" t="s">
        <v>135</v>
      </c>
      <c r="E3" s="276" t="s">
        <v>136</v>
      </c>
      <c r="F3" s="277" t="s">
        <v>137</v>
      </c>
      <c r="G3" s="278" t="s">
        <v>138</v>
      </c>
    </row>
    <row r="4" spans="1:7" x14ac:dyDescent="0.3">
      <c r="A4" s="279"/>
      <c r="B4" s="280" t="s">
        <v>139</v>
      </c>
      <c r="C4" s="281"/>
      <c r="D4" s="281"/>
      <c r="E4" s="281"/>
      <c r="F4" s="281"/>
      <c r="G4" s="282"/>
    </row>
    <row r="5" spans="1:7" ht="25.2" customHeight="1" x14ac:dyDescent="0.3">
      <c r="A5" s="283">
        <v>1</v>
      </c>
      <c r="B5" s="284" t="s">
        <v>140</v>
      </c>
      <c r="C5" s="285"/>
      <c r="D5" s="285"/>
      <c r="E5" s="285"/>
      <c r="F5" s="285"/>
      <c r="G5" s="286"/>
    </row>
    <row r="6" spans="1:7" x14ac:dyDescent="0.3">
      <c r="A6" s="283">
        <v>1</v>
      </c>
      <c r="B6" s="287" t="s">
        <v>141</v>
      </c>
      <c r="C6" s="287"/>
      <c r="D6" s="285"/>
      <c r="E6" s="285"/>
      <c r="F6" s="285"/>
      <c r="G6" s="286"/>
    </row>
    <row r="7" spans="1:7" x14ac:dyDescent="0.3">
      <c r="A7" s="283">
        <f>+A6+0.1</f>
        <v>1.1000000000000001</v>
      </c>
      <c r="B7" s="288" t="s">
        <v>142</v>
      </c>
      <c r="C7" s="287"/>
      <c r="D7" s="287"/>
      <c r="E7" s="287"/>
      <c r="F7" s="287"/>
      <c r="G7" s="289"/>
    </row>
    <row r="8" spans="1:7" x14ac:dyDescent="0.3">
      <c r="A8" s="283">
        <f>+A7+0.1</f>
        <v>1.2000000000000002</v>
      </c>
      <c r="B8" s="288" t="s">
        <v>10</v>
      </c>
      <c r="C8" s="287"/>
      <c r="D8" s="287">
        <v>5</v>
      </c>
      <c r="E8" s="287">
        <f>+E7</f>
        <v>0</v>
      </c>
      <c r="F8" s="287">
        <v>1200</v>
      </c>
      <c r="G8" s="289">
        <f>+D8*F8</f>
        <v>6000</v>
      </c>
    </row>
    <row r="9" spans="1:7" x14ac:dyDescent="0.3">
      <c r="A9" s="283">
        <f>+A8+0.1</f>
        <v>1.3000000000000003</v>
      </c>
      <c r="B9" s="288" t="s">
        <v>143</v>
      </c>
      <c r="C9" s="287"/>
      <c r="D9" s="287">
        <v>30</v>
      </c>
      <c r="E9" s="287" t="s">
        <v>144</v>
      </c>
      <c r="F9" s="287">
        <v>750</v>
      </c>
      <c r="G9" s="289">
        <f>+F9*D9</f>
        <v>22500</v>
      </c>
    </row>
    <row r="10" spans="1:7" x14ac:dyDescent="0.3">
      <c r="A10" s="283">
        <f>+A9+0.1</f>
        <v>1.4000000000000004</v>
      </c>
      <c r="B10" s="288" t="s">
        <v>145</v>
      </c>
      <c r="C10" s="285"/>
      <c r="D10" s="287">
        <v>0.03</v>
      </c>
      <c r="E10" s="287" t="s">
        <v>107</v>
      </c>
      <c r="F10" s="285">
        <f>SUM(G7:G9)</f>
        <v>28500</v>
      </c>
      <c r="G10" s="286">
        <f>+F10*D10</f>
        <v>855</v>
      </c>
    </row>
    <row r="11" spans="1:7" x14ac:dyDescent="0.3">
      <c r="A11" s="290"/>
      <c r="B11" s="291"/>
      <c r="C11" s="285"/>
      <c r="D11" s="285"/>
      <c r="E11" s="285"/>
      <c r="F11" s="292" t="s">
        <v>146</v>
      </c>
      <c r="G11" s="293">
        <f>SUM(G7:G10)/1940.67</f>
        <v>15.126219295397981</v>
      </c>
    </row>
    <row r="12" spans="1:7" ht="46.8" x14ac:dyDescent="0.3">
      <c r="A12" s="283">
        <v>2</v>
      </c>
      <c r="B12" s="294" t="s">
        <v>147</v>
      </c>
      <c r="C12" s="295"/>
      <c r="D12" s="295"/>
      <c r="E12" s="295"/>
      <c r="F12" s="295"/>
      <c r="G12" s="296"/>
    </row>
    <row r="13" spans="1:7" x14ac:dyDescent="0.3">
      <c r="A13" s="283">
        <v>2.1</v>
      </c>
      <c r="B13" s="285">
        <v>84.97</v>
      </c>
      <c r="C13" s="287"/>
      <c r="D13" s="285"/>
      <c r="E13" s="285"/>
      <c r="F13" s="285"/>
      <c r="G13" s="286"/>
    </row>
    <row r="14" spans="1:7" x14ac:dyDescent="0.3">
      <c r="A14" s="283">
        <f>+A13+0.1</f>
        <v>2.2000000000000002</v>
      </c>
      <c r="B14" s="288" t="s">
        <v>148</v>
      </c>
      <c r="C14" s="287"/>
      <c r="D14" s="287">
        <f>2.5*30</f>
        <v>75</v>
      </c>
      <c r="E14" s="287" t="s">
        <v>149</v>
      </c>
      <c r="F14" s="287">
        <v>36</v>
      </c>
      <c r="G14" s="289">
        <f>+D14*F14</f>
        <v>2700</v>
      </c>
    </row>
    <row r="15" spans="1:7" x14ac:dyDescent="0.3">
      <c r="A15" s="283">
        <f t="shared" ref="A15:A20" si="0">+A14+0.1</f>
        <v>2.3000000000000003</v>
      </c>
      <c r="B15" s="288" t="s">
        <v>150</v>
      </c>
      <c r="C15" s="287"/>
      <c r="D15" s="287">
        <v>70</v>
      </c>
      <c r="E15" s="287" t="str">
        <f>+E14</f>
        <v>p2</v>
      </c>
      <c r="F15" s="287">
        <v>36</v>
      </c>
      <c r="G15" s="289">
        <f>+D15*F15</f>
        <v>2520</v>
      </c>
    </row>
    <row r="16" spans="1:7" x14ac:dyDescent="0.3">
      <c r="A16" s="283">
        <f t="shared" si="0"/>
        <v>2.4000000000000004</v>
      </c>
      <c r="B16" s="288" t="s">
        <v>151</v>
      </c>
      <c r="C16" s="287"/>
      <c r="D16" s="287">
        <v>110</v>
      </c>
      <c r="E16" s="287" t="s">
        <v>152</v>
      </c>
      <c r="F16" s="287">
        <v>180</v>
      </c>
      <c r="G16" s="289">
        <f>+F16*D16</f>
        <v>19800</v>
      </c>
    </row>
    <row r="17" spans="1:10" x14ac:dyDescent="0.3">
      <c r="A17" s="283">
        <f t="shared" si="0"/>
        <v>2.5000000000000004</v>
      </c>
      <c r="B17" s="288" t="s">
        <v>153</v>
      </c>
      <c r="C17" s="285"/>
      <c r="D17" s="285">
        <v>30</v>
      </c>
      <c r="E17" s="285" t="s">
        <v>154</v>
      </c>
      <c r="F17" s="285">
        <v>45</v>
      </c>
      <c r="G17" s="286">
        <f>+F17*D17</f>
        <v>1350</v>
      </c>
    </row>
    <row r="18" spans="1:10" x14ac:dyDescent="0.3">
      <c r="A18" s="283">
        <f t="shared" si="0"/>
        <v>2.6000000000000005</v>
      </c>
      <c r="B18" s="288" t="s">
        <v>155</v>
      </c>
      <c r="C18" s="285"/>
      <c r="D18" s="285">
        <v>30</v>
      </c>
      <c r="E18" s="285" t="s">
        <v>154</v>
      </c>
      <c r="F18" s="285">
        <v>55</v>
      </c>
      <c r="G18" s="286">
        <f>+F18*D18</f>
        <v>1650</v>
      </c>
    </row>
    <row r="19" spans="1:10" x14ac:dyDescent="0.3">
      <c r="A19" s="283">
        <f t="shared" si="0"/>
        <v>2.7000000000000006</v>
      </c>
      <c r="B19" s="288" t="s">
        <v>156</v>
      </c>
      <c r="C19" s="285"/>
      <c r="D19" s="285">
        <v>1</v>
      </c>
      <c r="E19" s="285" t="s">
        <v>157</v>
      </c>
      <c r="F19" s="285">
        <v>890</v>
      </c>
      <c r="G19" s="286">
        <f>+F19*D19</f>
        <v>890</v>
      </c>
    </row>
    <row r="20" spans="1:10" x14ac:dyDescent="0.3">
      <c r="A20" s="283">
        <f t="shared" si="0"/>
        <v>2.8000000000000007</v>
      </c>
      <c r="B20" s="288" t="s">
        <v>158</v>
      </c>
      <c r="C20" s="285"/>
      <c r="D20" s="285">
        <v>85</v>
      </c>
      <c r="E20" s="285" t="s">
        <v>159</v>
      </c>
      <c r="F20" s="285">
        <v>240</v>
      </c>
      <c r="G20" s="286">
        <f>+F20*D20</f>
        <v>20400</v>
      </c>
      <c r="I20" s="297" t="s">
        <v>160</v>
      </c>
      <c r="J20" s="297">
        <v>245</v>
      </c>
    </row>
    <row r="21" spans="1:10" x14ac:dyDescent="0.3">
      <c r="A21" s="290"/>
      <c r="B21" s="291"/>
      <c r="C21" s="285"/>
      <c r="D21" s="285"/>
      <c r="E21" s="285"/>
      <c r="F21" s="292" t="s">
        <v>161</v>
      </c>
      <c r="G21" s="293">
        <f>SUM(G14:G20)/B13</f>
        <v>580.32246675297165</v>
      </c>
    </row>
    <row r="22" spans="1:10" x14ac:dyDescent="0.3">
      <c r="A22" s="290"/>
      <c r="B22" s="291"/>
      <c r="C22" s="285"/>
      <c r="D22" s="285"/>
      <c r="E22" s="285"/>
      <c r="F22" s="285"/>
      <c r="G22" s="286"/>
    </row>
    <row r="23" spans="1:10" x14ac:dyDescent="0.3">
      <c r="A23" s="290">
        <v>3</v>
      </c>
      <c r="B23" s="294" t="s">
        <v>162</v>
      </c>
      <c r="C23" s="285"/>
      <c r="D23" s="285"/>
      <c r="E23" s="285"/>
      <c r="F23" s="285"/>
      <c r="G23" s="286"/>
    </row>
    <row r="24" spans="1:10" x14ac:dyDescent="0.3">
      <c r="A24" s="290">
        <v>3.1</v>
      </c>
      <c r="B24" s="288" t="s">
        <v>163</v>
      </c>
      <c r="C24" s="287"/>
      <c r="D24" s="287">
        <v>36</v>
      </c>
      <c r="E24" s="287" t="s">
        <v>149</v>
      </c>
      <c r="F24" s="287">
        <v>36</v>
      </c>
      <c r="G24" s="289">
        <f>+D24*F24</f>
        <v>1296</v>
      </c>
    </row>
    <row r="25" spans="1:10" x14ac:dyDescent="0.3">
      <c r="A25" s="290">
        <f>+A24+0.1</f>
        <v>3.2</v>
      </c>
      <c r="B25" s="288" t="s">
        <v>164</v>
      </c>
      <c r="C25" s="287"/>
      <c r="D25" s="287">
        <v>16</v>
      </c>
      <c r="E25" s="287" t="str">
        <f>+E24</f>
        <v>p2</v>
      </c>
      <c r="F25" s="287">
        <v>36</v>
      </c>
      <c r="G25" s="289">
        <f>+D25*F25</f>
        <v>576</v>
      </c>
    </row>
    <row r="26" spans="1:10" x14ac:dyDescent="0.3">
      <c r="A26" s="290">
        <f t="shared" ref="A26:A32" si="1">+A25+0.1</f>
        <v>3.3000000000000003</v>
      </c>
      <c r="B26" s="288" t="s">
        <v>151</v>
      </c>
      <c r="C26" s="287"/>
      <c r="D26" s="287">
        <v>16</v>
      </c>
      <c r="E26" s="287" t="s">
        <v>152</v>
      </c>
      <c r="F26" s="287">
        <v>180</v>
      </c>
      <c r="G26" s="289">
        <f t="shared" ref="G26:G32" si="2">+F26*D26</f>
        <v>2880</v>
      </c>
    </row>
    <row r="27" spans="1:10" x14ac:dyDescent="0.3">
      <c r="A27" s="290">
        <f t="shared" si="1"/>
        <v>3.4000000000000004</v>
      </c>
      <c r="B27" s="288" t="s">
        <v>165</v>
      </c>
      <c r="C27" s="287"/>
      <c r="D27" s="287">
        <v>12</v>
      </c>
      <c r="E27" s="287" t="s">
        <v>152</v>
      </c>
      <c r="F27" s="287">
        <v>400</v>
      </c>
      <c r="G27" s="289">
        <f t="shared" si="2"/>
        <v>4800</v>
      </c>
    </row>
    <row r="28" spans="1:10" x14ac:dyDescent="0.3">
      <c r="A28" s="290">
        <f t="shared" si="1"/>
        <v>3.5000000000000004</v>
      </c>
      <c r="B28" s="288" t="s">
        <v>153</v>
      </c>
      <c r="C28" s="285"/>
      <c r="D28" s="285">
        <v>20</v>
      </c>
      <c r="E28" s="285" t="s">
        <v>154</v>
      </c>
      <c r="F28" s="285">
        <v>45</v>
      </c>
      <c r="G28" s="286">
        <f t="shared" si="2"/>
        <v>900</v>
      </c>
    </row>
    <row r="29" spans="1:10" x14ac:dyDescent="0.3">
      <c r="A29" s="290">
        <f t="shared" si="1"/>
        <v>3.6000000000000005</v>
      </c>
      <c r="B29" s="288" t="s">
        <v>155</v>
      </c>
      <c r="C29" s="285"/>
      <c r="D29" s="285">
        <v>6</v>
      </c>
      <c r="E29" s="285" t="s">
        <v>154</v>
      </c>
      <c r="F29" s="285">
        <v>55</v>
      </c>
      <c r="G29" s="286">
        <f t="shared" si="2"/>
        <v>330</v>
      </c>
    </row>
    <row r="30" spans="1:10" x14ac:dyDescent="0.3">
      <c r="A30" s="290">
        <f t="shared" si="1"/>
        <v>3.7000000000000006</v>
      </c>
      <c r="B30" s="288" t="s">
        <v>166</v>
      </c>
      <c r="C30" s="285"/>
      <c r="D30" s="285">
        <v>1</v>
      </c>
      <c r="E30" s="285" t="s">
        <v>157</v>
      </c>
      <c r="F30" s="285">
        <v>890</v>
      </c>
      <c r="G30" s="286">
        <f t="shared" si="2"/>
        <v>890</v>
      </c>
    </row>
    <row r="31" spans="1:10" x14ac:dyDescent="0.3">
      <c r="A31" s="290">
        <f t="shared" si="1"/>
        <v>3.8000000000000007</v>
      </c>
      <c r="B31" s="288" t="s">
        <v>167</v>
      </c>
      <c r="C31" s="285"/>
      <c r="D31" s="285">
        <v>9</v>
      </c>
      <c r="E31" s="285" t="s">
        <v>168</v>
      </c>
      <c r="F31" s="285">
        <v>950</v>
      </c>
      <c r="G31" s="286">
        <f t="shared" si="2"/>
        <v>8550</v>
      </c>
    </row>
    <row r="32" spans="1:10" x14ac:dyDescent="0.3">
      <c r="A32" s="290">
        <f t="shared" si="1"/>
        <v>3.9000000000000008</v>
      </c>
      <c r="B32" s="288" t="s">
        <v>169</v>
      </c>
      <c r="C32" s="285"/>
      <c r="D32" s="285">
        <v>9</v>
      </c>
      <c r="E32" s="285" t="s">
        <v>168</v>
      </c>
      <c r="F32" s="285">
        <v>400</v>
      </c>
      <c r="G32" s="286">
        <f t="shared" si="2"/>
        <v>3600</v>
      </c>
    </row>
    <row r="33" spans="1:7" x14ac:dyDescent="0.3">
      <c r="A33" s="290"/>
      <c r="B33" s="291"/>
      <c r="C33" s="285"/>
      <c r="D33" s="285"/>
      <c r="E33" s="285"/>
      <c r="F33" s="292" t="s">
        <v>146</v>
      </c>
      <c r="G33" s="293">
        <f>SUM(G24:G32)/9</f>
        <v>2646.8888888888887</v>
      </c>
    </row>
    <row r="34" spans="1:7" x14ac:dyDescent="0.3">
      <c r="A34" s="290"/>
      <c r="B34" s="291"/>
      <c r="C34" s="285"/>
      <c r="D34" s="285"/>
      <c r="E34" s="285"/>
      <c r="F34" s="285"/>
      <c r="G34" s="286"/>
    </row>
    <row r="35" spans="1:7" x14ac:dyDescent="0.3">
      <c r="A35" s="290">
        <v>4</v>
      </c>
      <c r="B35" s="294" t="s">
        <v>170</v>
      </c>
      <c r="C35" s="285"/>
      <c r="D35" s="285"/>
      <c r="E35" s="285"/>
      <c r="F35" s="285"/>
      <c r="G35" s="286"/>
    </row>
    <row r="36" spans="1:7" x14ac:dyDescent="0.3">
      <c r="A36" s="290">
        <v>4.0999999999999996</v>
      </c>
      <c r="B36" s="288" t="s">
        <v>171</v>
      </c>
      <c r="C36" s="285"/>
      <c r="D36" s="285">
        <f>1.5*1.85</f>
        <v>2.7750000000000004</v>
      </c>
      <c r="E36" s="285" t="s">
        <v>168</v>
      </c>
      <c r="F36" s="285">
        <v>20</v>
      </c>
      <c r="G36" s="286">
        <f>+F36*D36</f>
        <v>55.500000000000007</v>
      </c>
    </row>
    <row r="37" spans="1:7" x14ac:dyDescent="0.3">
      <c r="A37" s="290">
        <f>+A36+0.1</f>
        <v>4.1999999999999993</v>
      </c>
      <c r="B37" s="288" t="s">
        <v>172</v>
      </c>
      <c r="C37" s="285"/>
      <c r="D37" s="285">
        <f>+D36*1.25*0.1</f>
        <v>0.34687500000000004</v>
      </c>
      <c r="E37" s="285" t="s">
        <v>173</v>
      </c>
      <c r="F37" s="285">
        <v>113</v>
      </c>
      <c r="G37" s="286">
        <f>+F37*D37</f>
        <v>39.196875000000006</v>
      </c>
    </row>
    <row r="38" spans="1:7" x14ac:dyDescent="0.3">
      <c r="A38" s="290"/>
      <c r="B38" s="291"/>
      <c r="C38" s="285"/>
      <c r="D38" s="285"/>
      <c r="E38" s="285"/>
      <c r="F38" s="292" t="s">
        <v>174</v>
      </c>
      <c r="G38" s="293">
        <f>SUM(G36:G37)/(D36*0.1)</f>
        <v>341.25</v>
      </c>
    </row>
    <row r="39" spans="1:7" ht="31.2" x14ac:dyDescent="0.3">
      <c r="A39" s="290">
        <v>5</v>
      </c>
      <c r="B39" s="294" t="s">
        <v>175</v>
      </c>
      <c r="C39" s="285"/>
      <c r="D39" s="285"/>
      <c r="E39" s="285"/>
      <c r="F39" s="285"/>
      <c r="G39" s="286"/>
    </row>
    <row r="40" spans="1:7" x14ac:dyDescent="0.3">
      <c r="A40" s="290">
        <v>5.0999999999999996</v>
      </c>
      <c r="B40" s="288" t="s">
        <v>176</v>
      </c>
      <c r="C40" s="285"/>
      <c r="D40" s="285">
        <f>3*1.1*1.5</f>
        <v>4.95</v>
      </c>
      <c r="E40" s="285" t="s">
        <v>173</v>
      </c>
      <c r="F40" s="285">
        <v>1133.45</v>
      </c>
      <c r="G40" s="286">
        <f>+F40*D40</f>
        <v>5610.5775000000003</v>
      </c>
    </row>
    <row r="41" spans="1:7" x14ac:dyDescent="0.3">
      <c r="A41" s="290">
        <v>5.2</v>
      </c>
      <c r="B41" s="288" t="s">
        <v>177</v>
      </c>
      <c r="C41" s="285"/>
      <c r="D41" s="285">
        <f>+D40*1.21</f>
        <v>5.9894999999999996</v>
      </c>
      <c r="E41" s="285" t="s">
        <v>173</v>
      </c>
      <c r="F41" s="285">
        <v>113</v>
      </c>
      <c r="G41" s="286">
        <f>+F41*D41</f>
        <v>676.81349999999998</v>
      </c>
    </row>
    <row r="42" spans="1:7" x14ac:dyDescent="0.3">
      <c r="A42" s="290"/>
      <c r="B42" s="291"/>
      <c r="C42" s="285"/>
      <c r="D42" s="285"/>
      <c r="E42" s="285"/>
      <c r="F42" s="292" t="s">
        <v>174</v>
      </c>
      <c r="G42" s="293">
        <f>SUM(G40:G41)/D40</f>
        <v>1270.18</v>
      </c>
    </row>
    <row r="43" spans="1:7" x14ac:dyDescent="0.3">
      <c r="A43" s="290">
        <v>6</v>
      </c>
      <c r="B43" s="294" t="s">
        <v>178</v>
      </c>
      <c r="C43" s="285"/>
      <c r="D43" s="285" t="s">
        <v>173</v>
      </c>
      <c r="E43" s="285"/>
      <c r="F43" s="285"/>
      <c r="G43" s="286"/>
    </row>
    <row r="44" spans="1:7" x14ac:dyDescent="0.3">
      <c r="A44" s="290">
        <v>6.1</v>
      </c>
      <c r="B44" s="288" t="s">
        <v>179</v>
      </c>
      <c r="C44" s="285"/>
      <c r="D44" s="285">
        <v>119.81</v>
      </c>
      <c r="E44" s="285" t="s">
        <v>168</v>
      </c>
      <c r="F44" s="285">
        <v>20</v>
      </c>
      <c r="G44" s="286">
        <f>+F44*D44</f>
        <v>2396.1999999999998</v>
      </c>
    </row>
    <row r="45" spans="1:7" x14ac:dyDescent="0.3">
      <c r="A45" s="290">
        <v>6.2</v>
      </c>
      <c r="B45" s="288" t="s">
        <v>180</v>
      </c>
      <c r="C45" s="285"/>
      <c r="D45" s="285">
        <f>+D44*0.1*1.25</f>
        <v>14.976250000000002</v>
      </c>
      <c r="E45" s="285" t="s">
        <v>173</v>
      </c>
      <c r="F45" s="285">
        <v>113</v>
      </c>
      <c r="G45" s="286">
        <f>+F45*D45</f>
        <v>1692.3162500000003</v>
      </c>
    </row>
    <row r="46" spans="1:7" x14ac:dyDescent="0.3">
      <c r="A46" s="290"/>
      <c r="B46" s="291"/>
      <c r="C46" s="285"/>
      <c r="D46" s="285"/>
      <c r="E46" s="285"/>
      <c r="F46" s="292" t="s">
        <v>174</v>
      </c>
      <c r="G46" s="293">
        <f>SUM(G44:G45)/(D44*0.1)</f>
        <v>341.24999999999994</v>
      </c>
    </row>
    <row r="47" spans="1:7" x14ac:dyDescent="0.3">
      <c r="A47" s="290">
        <v>7</v>
      </c>
      <c r="B47" s="294" t="s">
        <v>181</v>
      </c>
      <c r="C47" s="285"/>
      <c r="D47" s="285"/>
      <c r="E47" s="285"/>
      <c r="F47" s="285"/>
      <c r="G47" s="286"/>
    </row>
    <row r="48" spans="1:7" x14ac:dyDescent="0.3">
      <c r="A48" s="290">
        <v>7.1</v>
      </c>
      <c r="B48" s="288" t="s">
        <v>179</v>
      </c>
      <c r="C48" s="285"/>
      <c r="D48" s="285">
        <f>14.5*15.5</f>
        <v>224.75</v>
      </c>
      <c r="E48" s="285" t="s">
        <v>168</v>
      </c>
      <c r="F48" s="285">
        <v>32</v>
      </c>
      <c r="G48" s="286">
        <f>+F48*D48</f>
        <v>7192</v>
      </c>
    </row>
    <row r="49" spans="1:7" x14ac:dyDescent="0.3">
      <c r="A49" s="290">
        <v>7.2</v>
      </c>
      <c r="B49" s="288" t="s">
        <v>180</v>
      </c>
      <c r="C49" s="285"/>
      <c r="D49" s="285">
        <f>+D48*0.15*1.25</f>
        <v>42.140625</v>
      </c>
      <c r="E49" s="285" t="s">
        <v>173</v>
      </c>
      <c r="F49" s="285">
        <v>113</v>
      </c>
      <c r="G49" s="286">
        <f>+F49*D49</f>
        <v>4761.890625</v>
      </c>
    </row>
    <row r="50" spans="1:7" x14ac:dyDescent="0.3">
      <c r="A50" s="290"/>
      <c r="B50" s="291"/>
      <c r="C50" s="285"/>
      <c r="D50" s="285"/>
      <c r="E50" s="285"/>
      <c r="F50" s="292" t="s">
        <v>174</v>
      </c>
      <c r="G50" s="293">
        <f>SUM(G48:G49)/(D48*0.15)</f>
        <v>354.58333333333337</v>
      </c>
    </row>
    <row r="51" spans="1:7" x14ac:dyDescent="0.3">
      <c r="A51" s="290">
        <v>8</v>
      </c>
      <c r="B51" s="294" t="s">
        <v>182</v>
      </c>
      <c r="C51" s="285"/>
      <c r="D51" s="285"/>
      <c r="E51" s="285"/>
      <c r="F51" s="285"/>
      <c r="G51" s="286"/>
    </row>
    <row r="52" spans="1:7" x14ac:dyDescent="0.3">
      <c r="A52" s="290">
        <v>8.1</v>
      </c>
      <c r="B52" s="288" t="s">
        <v>183</v>
      </c>
      <c r="C52" s="285"/>
      <c r="D52" s="285">
        <f>9.1*0.2</f>
        <v>1.82</v>
      </c>
      <c r="E52" s="285" t="s">
        <v>168</v>
      </c>
      <c r="F52" s="285">
        <v>20</v>
      </c>
      <c r="G52" s="286">
        <f>+F52*D52</f>
        <v>36.4</v>
      </c>
    </row>
    <row r="53" spans="1:7" x14ac:dyDescent="0.3">
      <c r="A53" s="290">
        <v>8.1999999999999993</v>
      </c>
      <c r="B53" s="288" t="s">
        <v>180</v>
      </c>
      <c r="C53" s="285"/>
      <c r="D53" s="285">
        <f>+D52*0.1*1.25</f>
        <v>0.22750000000000004</v>
      </c>
      <c r="E53" s="285" t="s">
        <v>173</v>
      </c>
      <c r="F53" s="285">
        <v>113</v>
      </c>
      <c r="G53" s="286">
        <f>+F53*D53</f>
        <v>25.707500000000003</v>
      </c>
    </row>
    <row r="54" spans="1:7" x14ac:dyDescent="0.3">
      <c r="A54" s="290"/>
      <c r="B54" s="291"/>
      <c r="C54" s="285"/>
      <c r="D54" s="285"/>
      <c r="E54" s="285"/>
      <c r="F54" s="292" t="s">
        <v>174</v>
      </c>
      <c r="G54" s="293">
        <f>SUM(G52:G53)/(D52*0.1)</f>
        <v>341.24999999999994</v>
      </c>
    </row>
    <row r="55" spans="1:7" ht="31.2" x14ac:dyDescent="0.3">
      <c r="A55" s="290">
        <v>9</v>
      </c>
      <c r="B55" s="294" t="s">
        <v>184</v>
      </c>
      <c r="C55" s="285"/>
      <c r="D55" s="285"/>
      <c r="E55" s="285"/>
      <c r="F55" s="285"/>
      <c r="G55" s="286"/>
    </row>
    <row r="56" spans="1:7" x14ac:dyDescent="0.3">
      <c r="A56" s="290">
        <v>9.1</v>
      </c>
      <c r="B56" s="288" t="s">
        <v>185</v>
      </c>
      <c r="C56" s="285"/>
      <c r="D56" s="285">
        <v>16.8</v>
      </c>
      <c r="E56" s="285" t="s">
        <v>168</v>
      </c>
      <c r="F56" s="285">
        <v>40</v>
      </c>
      <c r="G56" s="286">
        <f>+F56*D56</f>
        <v>672</v>
      </c>
    </row>
    <row r="57" spans="1:7" x14ac:dyDescent="0.3">
      <c r="A57" s="290">
        <v>9.1999999999999993</v>
      </c>
      <c r="B57" s="288" t="s">
        <v>180</v>
      </c>
      <c r="C57" s="285"/>
      <c r="D57" s="285">
        <f>+D56*0.2*1.25</f>
        <v>4.2</v>
      </c>
      <c r="E57" s="285" t="s">
        <v>173</v>
      </c>
      <c r="F57" s="285">
        <v>113</v>
      </c>
      <c r="G57" s="286">
        <f>+F57*D57</f>
        <v>474.6</v>
      </c>
    </row>
    <row r="58" spans="1:7" x14ac:dyDescent="0.3">
      <c r="A58" s="290"/>
      <c r="B58" s="291"/>
      <c r="C58" s="285"/>
      <c r="D58" s="285"/>
      <c r="E58" s="285"/>
      <c r="F58" s="292" t="s">
        <v>174</v>
      </c>
      <c r="G58" s="293">
        <f>SUM(G56:G57)/(D56*0.2)</f>
        <v>341.24999999999994</v>
      </c>
    </row>
    <row r="59" spans="1:7" ht="31.2" x14ac:dyDescent="0.3">
      <c r="A59" s="290">
        <v>10</v>
      </c>
      <c r="B59" s="294" t="s">
        <v>186</v>
      </c>
      <c r="C59" s="285"/>
      <c r="D59" s="285"/>
      <c r="E59" s="285"/>
      <c r="F59" s="285"/>
      <c r="G59" s="286"/>
    </row>
    <row r="60" spans="1:7" x14ac:dyDescent="0.3">
      <c r="A60" s="290">
        <v>10.1</v>
      </c>
      <c r="B60" s="288" t="s">
        <v>187</v>
      </c>
      <c r="C60" s="285"/>
      <c r="D60" s="285">
        <v>111.43</v>
      </c>
      <c r="E60" s="285" t="s">
        <v>159</v>
      </c>
      <c r="F60" s="285">
        <v>20</v>
      </c>
      <c r="G60" s="286">
        <f>+F60*D60</f>
        <v>2228.6000000000004</v>
      </c>
    </row>
    <row r="61" spans="1:7" x14ac:dyDescent="0.3">
      <c r="A61" s="290">
        <v>10.199999999999999</v>
      </c>
      <c r="B61" s="288" t="s">
        <v>180</v>
      </c>
      <c r="C61" s="285"/>
      <c r="D61" s="285">
        <f>+D60*0.1*1.25</f>
        <v>13.928750000000001</v>
      </c>
      <c r="E61" s="285" t="s">
        <v>173</v>
      </c>
      <c r="F61" s="285">
        <v>113</v>
      </c>
      <c r="G61" s="286">
        <f>+F61*D61</f>
        <v>1573.94875</v>
      </c>
    </row>
    <row r="62" spans="1:7" x14ac:dyDescent="0.3">
      <c r="A62" s="290"/>
      <c r="B62" s="291"/>
      <c r="C62" s="285"/>
      <c r="D62" s="285"/>
      <c r="E62" s="285"/>
      <c r="F62" s="292" t="s">
        <v>174</v>
      </c>
      <c r="G62" s="293">
        <f>SUM(G60:G61)/(D60*0.1)</f>
        <v>341.25</v>
      </c>
    </row>
    <row r="63" spans="1:7" x14ac:dyDescent="0.3">
      <c r="A63" s="290">
        <v>11</v>
      </c>
      <c r="B63" s="294" t="s">
        <v>188</v>
      </c>
      <c r="C63" s="285"/>
      <c r="D63" s="285"/>
      <c r="E63" s="285"/>
      <c r="F63" s="285"/>
      <c r="G63" s="286"/>
    </row>
    <row r="64" spans="1:7" x14ac:dyDescent="0.3">
      <c r="A64" s="290">
        <v>11.1</v>
      </c>
      <c r="B64" s="291" t="s">
        <v>188</v>
      </c>
      <c r="C64" s="285">
        <v>1.2</v>
      </c>
      <c r="D64" s="285">
        <v>1</v>
      </c>
      <c r="E64" s="285" t="s">
        <v>189</v>
      </c>
      <c r="F64" s="285">
        <v>1800</v>
      </c>
      <c r="G64" s="286">
        <f>+F64*D64*C64</f>
        <v>2160</v>
      </c>
    </row>
    <row r="65" spans="1:8" x14ac:dyDescent="0.3">
      <c r="A65" s="290">
        <v>11.2</v>
      </c>
      <c r="B65" s="291" t="s">
        <v>190</v>
      </c>
      <c r="C65" s="285">
        <v>1</v>
      </c>
      <c r="D65" s="285">
        <v>1</v>
      </c>
      <c r="E65" s="285" t="s">
        <v>191</v>
      </c>
      <c r="F65" s="285">
        <v>1100</v>
      </c>
      <c r="G65" s="286">
        <f>+F65*D65*C65</f>
        <v>1100</v>
      </c>
    </row>
    <row r="66" spans="1:8" x14ac:dyDescent="0.3">
      <c r="A66" s="290"/>
      <c r="B66" s="291"/>
      <c r="C66" s="285"/>
      <c r="D66" s="285"/>
      <c r="E66" s="285"/>
      <c r="F66" s="292" t="s">
        <v>174</v>
      </c>
      <c r="G66" s="293">
        <f>SUM(G64:G65)</f>
        <v>3260</v>
      </c>
    </row>
    <row r="67" spans="1:8" x14ac:dyDescent="0.3">
      <c r="A67" s="290">
        <v>12</v>
      </c>
      <c r="B67" s="294" t="s">
        <v>192</v>
      </c>
      <c r="C67" s="285"/>
      <c r="D67" s="285"/>
      <c r="E67" s="285"/>
      <c r="F67" s="285"/>
      <c r="G67" s="286"/>
    </row>
    <row r="68" spans="1:8" x14ac:dyDescent="0.3">
      <c r="A68" s="290">
        <v>12.1</v>
      </c>
      <c r="B68" s="288" t="s">
        <v>193</v>
      </c>
      <c r="C68" s="285">
        <v>1.1000000000000001</v>
      </c>
      <c r="D68" s="285">
        <v>6</v>
      </c>
      <c r="E68" s="285" t="s">
        <v>173</v>
      </c>
      <c r="F68" s="285">
        <v>66.666666666666671</v>
      </c>
      <c r="G68" s="286">
        <f>+F68*D68*C68</f>
        <v>440.00000000000006</v>
      </c>
    </row>
    <row r="69" spans="1:8" x14ac:dyDescent="0.3">
      <c r="A69" s="290">
        <f>+A68+0.1</f>
        <v>12.2</v>
      </c>
      <c r="B69" s="288" t="s">
        <v>194</v>
      </c>
      <c r="C69" s="285">
        <v>1</v>
      </c>
      <c r="D69" s="285">
        <v>1</v>
      </c>
      <c r="E69" s="285" t="s">
        <v>195</v>
      </c>
      <c r="F69" s="285">
        <v>420</v>
      </c>
      <c r="G69" s="286">
        <f>+F69*D69</f>
        <v>420</v>
      </c>
    </row>
    <row r="70" spans="1:8" x14ac:dyDescent="0.3">
      <c r="A70" s="290">
        <f>+A69+0.1</f>
        <v>12.299999999999999</v>
      </c>
      <c r="B70" s="288" t="s">
        <v>196</v>
      </c>
      <c r="C70" s="285">
        <v>1</v>
      </c>
      <c r="D70" s="285">
        <v>6</v>
      </c>
      <c r="E70" s="285" t="s">
        <v>173</v>
      </c>
      <c r="F70" s="285">
        <v>80</v>
      </c>
      <c r="G70" s="286">
        <f>+F70*D70</f>
        <v>480</v>
      </c>
    </row>
    <row r="71" spans="1:8" x14ac:dyDescent="0.3">
      <c r="A71" s="290"/>
      <c r="B71" s="288"/>
      <c r="C71" s="285"/>
      <c r="D71" s="285"/>
      <c r="E71" s="285"/>
      <c r="F71" s="292" t="s">
        <v>174</v>
      </c>
      <c r="G71" s="293">
        <f>SUM(G68:G70)/6</f>
        <v>223.33333333333334</v>
      </c>
    </row>
    <row r="72" spans="1:8" x14ac:dyDescent="0.3">
      <c r="A72" s="290"/>
      <c r="B72" s="288"/>
      <c r="C72" s="285"/>
      <c r="D72" s="285"/>
      <c r="E72" s="285"/>
      <c r="F72" s="285"/>
      <c r="G72" s="286"/>
      <c r="H72" s="298"/>
    </row>
    <row r="73" spans="1:8" x14ac:dyDescent="0.3">
      <c r="A73" s="290">
        <v>13</v>
      </c>
      <c r="B73" s="299" t="s">
        <v>197</v>
      </c>
      <c r="C73" s="295"/>
      <c r="D73" s="295"/>
      <c r="E73" s="295"/>
      <c r="F73" s="295"/>
      <c r="G73" s="296"/>
    </row>
    <row r="74" spans="1:8" x14ac:dyDescent="0.3">
      <c r="A74" s="290">
        <v>13.1</v>
      </c>
      <c r="B74" s="300" t="s">
        <v>198</v>
      </c>
      <c r="C74" s="301"/>
      <c r="D74" s="301"/>
      <c r="E74" s="301"/>
      <c r="F74" s="301"/>
      <c r="G74" s="302"/>
    </row>
    <row r="75" spans="1:8" x14ac:dyDescent="0.3">
      <c r="A75" s="290">
        <f t="shared" ref="A75:A80" si="3">+A74+0.1</f>
        <v>13.2</v>
      </c>
      <c r="B75" s="303" t="s">
        <v>142</v>
      </c>
      <c r="C75" s="301"/>
      <c r="D75" s="301"/>
      <c r="E75" s="301"/>
      <c r="F75" s="301"/>
      <c r="G75" s="302"/>
    </row>
    <row r="76" spans="1:8" x14ac:dyDescent="0.3">
      <c r="A76" s="290">
        <f t="shared" si="3"/>
        <v>13.299999999999999</v>
      </c>
      <c r="B76" s="303" t="s">
        <v>10</v>
      </c>
      <c r="C76" s="301"/>
      <c r="D76" s="301">
        <v>1</v>
      </c>
      <c r="E76" s="301" t="s">
        <v>144</v>
      </c>
      <c r="F76" s="301">
        <v>1200</v>
      </c>
      <c r="G76" s="302">
        <f>+D76*F76</f>
        <v>1200</v>
      </c>
    </row>
    <row r="77" spans="1:8" x14ac:dyDescent="0.3">
      <c r="A77" s="290">
        <f t="shared" si="3"/>
        <v>13.399999999999999</v>
      </c>
      <c r="B77" s="303" t="s">
        <v>199</v>
      </c>
      <c r="C77" s="301"/>
      <c r="D77" s="301">
        <v>1</v>
      </c>
      <c r="E77" s="301" t="str">
        <f>+E76</f>
        <v>H/Día</v>
      </c>
      <c r="F77" s="301">
        <v>700</v>
      </c>
      <c r="G77" s="302">
        <f>+D77*F77</f>
        <v>700</v>
      </c>
    </row>
    <row r="78" spans="1:8" x14ac:dyDescent="0.3">
      <c r="A78" s="290">
        <f t="shared" si="3"/>
        <v>13.499999999999998</v>
      </c>
      <c r="B78" s="303" t="s">
        <v>145</v>
      </c>
      <c r="C78" s="301"/>
      <c r="D78" s="301">
        <v>0.1</v>
      </c>
      <c r="E78" s="301" t="s">
        <v>200</v>
      </c>
      <c r="F78" s="301">
        <f>SUM(G76:G77)</f>
        <v>1900</v>
      </c>
      <c r="G78" s="302">
        <f>+F78*D78</f>
        <v>190</v>
      </c>
    </row>
    <row r="79" spans="1:8" x14ac:dyDescent="0.3">
      <c r="A79" s="290">
        <f t="shared" si="3"/>
        <v>13.599999999999998</v>
      </c>
      <c r="B79" s="303" t="s">
        <v>201</v>
      </c>
      <c r="C79" s="301"/>
      <c r="D79" s="301"/>
      <c r="E79" s="301"/>
      <c r="F79" s="301"/>
      <c r="G79" s="302">
        <f>SUM(G76:G78)</f>
        <v>2090</v>
      </c>
    </row>
    <row r="80" spans="1:8" x14ac:dyDescent="0.3">
      <c r="A80" s="290">
        <f t="shared" si="3"/>
        <v>13.699999999999998</v>
      </c>
      <c r="B80" s="303" t="s">
        <v>4</v>
      </c>
      <c r="C80" s="301"/>
      <c r="D80" s="301">
        <v>6</v>
      </c>
      <c r="E80" s="301" t="s">
        <v>173</v>
      </c>
      <c r="F80" s="301"/>
      <c r="G80" s="302">
        <f>+G79/D80</f>
        <v>348.33333333333331</v>
      </c>
    </row>
    <row r="81" spans="1:7" x14ac:dyDescent="0.3">
      <c r="A81" s="290"/>
      <c r="B81" s="299"/>
      <c r="C81" s="295"/>
      <c r="D81" s="295"/>
      <c r="E81" s="295"/>
      <c r="F81" s="295" t="s">
        <v>174</v>
      </c>
      <c r="G81" s="296">
        <f>+G80</f>
        <v>348.33333333333331</v>
      </c>
    </row>
    <row r="82" spans="1:7" x14ac:dyDescent="0.3">
      <c r="A82" s="290"/>
      <c r="B82" s="299"/>
      <c r="C82" s="295"/>
      <c r="D82" s="295"/>
      <c r="E82" s="295"/>
      <c r="F82" s="295"/>
      <c r="G82" s="296"/>
    </row>
    <row r="83" spans="1:7" x14ac:dyDescent="0.3">
      <c r="A83" s="290">
        <v>14</v>
      </c>
      <c r="B83" s="300" t="s">
        <v>202</v>
      </c>
      <c r="C83" s="301"/>
      <c r="D83" s="301"/>
      <c r="E83" s="301"/>
      <c r="F83" s="301"/>
      <c r="G83" s="302"/>
    </row>
    <row r="84" spans="1:7" x14ac:dyDescent="0.3">
      <c r="A84" s="290">
        <f t="shared" ref="A84:A89" si="4">+A83+0.1</f>
        <v>14.1</v>
      </c>
      <c r="B84" s="303" t="s">
        <v>142</v>
      </c>
      <c r="C84" s="301"/>
      <c r="D84" s="301"/>
      <c r="E84" s="301"/>
      <c r="F84" s="301"/>
      <c r="G84" s="302"/>
    </row>
    <row r="85" spans="1:7" x14ac:dyDescent="0.3">
      <c r="A85" s="290">
        <f t="shared" si="4"/>
        <v>14.2</v>
      </c>
      <c r="B85" s="304" t="s">
        <v>203</v>
      </c>
      <c r="C85" s="301"/>
      <c r="D85" s="301">
        <v>13</v>
      </c>
      <c r="E85" s="301" t="s">
        <v>173</v>
      </c>
      <c r="F85" s="301">
        <f>+G81</f>
        <v>348.33333333333331</v>
      </c>
      <c r="G85" s="302">
        <f>+D85*F85</f>
        <v>4528.333333333333</v>
      </c>
    </row>
    <row r="86" spans="1:7" x14ac:dyDescent="0.3">
      <c r="A86" s="290">
        <f t="shared" si="4"/>
        <v>14.299999999999999</v>
      </c>
      <c r="B86" s="304" t="s">
        <v>204</v>
      </c>
      <c r="C86" s="301"/>
      <c r="D86" s="301">
        <v>7</v>
      </c>
      <c r="E86" s="301" t="str">
        <f>+E85</f>
        <v>m3</v>
      </c>
      <c r="F86" s="301">
        <f>+G42</f>
        <v>1270.18</v>
      </c>
      <c r="G86" s="302">
        <f>+D86*F86</f>
        <v>8891.26</v>
      </c>
    </row>
    <row r="87" spans="1:7" x14ac:dyDescent="0.3">
      <c r="A87" s="290">
        <f t="shared" si="4"/>
        <v>14.399999999999999</v>
      </c>
      <c r="B87" s="303" t="s">
        <v>205</v>
      </c>
      <c r="C87" s="301"/>
      <c r="D87" s="301">
        <v>0.1</v>
      </c>
      <c r="E87" s="301"/>
      <c r="F87" s="301">
        <f>SUM(G85:G86)</f>
        <v>13419.593333333334</v>
      </c>
      <c r="G87" s="302">
        <f>+F87*D87</f>
        <v>1341.9593333333335</v>
      </c>
    </row>
    <row r="88" spans="1:7" x14ac:dyDescent="0.3">
      <c r="A88" s="290">
        <f t="shared" si="4"/>
        <v>14.499999999999998</v>
      </c>
      <c r="B88" s="303" t="s">
        <v>201</v>
      </c>
      <c r="C88" s="301"/>
      <c r="D88" s="301"/>
      <c r="E88" s="301"/>
      <c r="F88" s="301"/>
      <c r="G88" s="302">
        <f>SUM(G85:G87)</f>
        <v>14761.552666666668</v>
      </c>
    </row>
    <row r="89" spans="1:7" x14ac:dyDescent="0.3">
      <c r="A89" s="290">
        <f t="shared" si="4"/>
        <v>14.599999999999998</v>
      </c>
      <c r="B89" s="303" t="s">
        <v>4</v>
      </c>
      <c r="C89" s="301"/>
      <c r="D89" s="301">
        <v>20</v>
      </c>
      <c r="E89" s="301" t="s">
        <v>173</v>
      </c>
      <c r="F89" s="301"/>
      <c r="G89" s="302"/>
    </row>
    <row r="90" spans="1:7" x14ac:dyDescent="0.3">
      <c r="A90" s="290"/>
      <c r="B90" s="299"/>
      <c r="C90" s="295"/>
      <c r="D90" s="295"/>
      <c r="E90" s="295"/>
      <c r="F90" s="295" t="s">
        <v>174</v>
      </c>
      <c r="G90" s="296">
        <f>+G88/D89</f>
        <v>738.07763333333344</v>
      </c>
    </row>
    <row r="91" spans="1:7" x14ac:dyDescent="0.3">
      <c r="A91" s="290">
        <v>15</v>
      </c>
      <c r="B91" s="299" t="s">
        <v>206</v>
      </c>
      <c r="C91" s="295"/>
      <c r="D91" s="295"/>
      <c r="E91" s="295"/>
      <c r="F91" s="295"/>
      <c r="G91" s="296"/>
    </row>
    <row r="92" spans="1:7" x14ac:dyDescent="0.3">
      <c r="A92" s="290">
        <f>+A91+0.1</f>
        <v>15.1</v>
      </c>
      <c r="B92" s="303" t="s">
        <v>142</v>
      </c>
      <c r="C92" s="301"/>
      <c r="D92" s="301"/>
      <c r="E92" s="301"/>
      <c r="F92" s="301"/>
      <c r="G92" s="302"/>
    </row>
    <row r="93" spans="1:7" x14ac:dyDescent="0.3">
      <c r="A93" s="290">
        <f>+A92+0.1</f>
        <v>15.2</v>
      </c>
      <c r="B93" s="304" t="s">
        <v>207</v>
      </c>
      <c r="C93" s="301">
        <f>20*0.2*0.2*0.35*2</f>
        <v>0.55999999999999994</v>
      </c>
      <c r="D93" s="301">
        <v>2</v>
      </c>
      <c r="E93" s="305" t="s">
        <v>208</v>
      </c>
      <c r="F93" s="301">
        <v>78.125</v>
      </c>
      <c r="G93" s="302">
        <f>+D93*F93</f>
        <v>156.25</v>
      </c>
    </row>
    <row r="94" spans="1:7" x14ac:dyDescent="0.3">
      <c r="A94" s="290">
        <f>+A93+0.1</f>
        <v>15.299999999999999</v>
      </c>
      <c r="B94" s="303" t="s">
        <v>145</v>
      </c>
      <c r="C94" s="301"/>
      <c r="D94" s="301">
        <v>0.02</v>
      </c>
      <c r="E94" s="301" t="s">
        <v>200</v>
      </c>
      <c r="F94" s="301">
        <f>SUM(G93:G93)</f>
        <v>156.25</v>
      </c>
      <c r="G94" s="302">
        <f>+F94*D94</f>
        <v>3.125</v>
      </c>
    </row>
    <row r="95" spans="1:7" x14ac:dyDescent="0.3">
      <c r="A95" s="290">
        <f>+A94+0.1</f>
        <v>15.399999999999999</v>
      </c>
      <c r="B95" s="303"/>
      <c r="C95" s="301"/>
      <c r="D95" s="301"/>
      <c r="E95" s="301"/>
      <c r="F95" s="295" t="s">
        <v>174</v>
      </c>
      <c r="G95" s="296">
        <f>+G94+G93</f>
        <v>159.375</v>
      </c>
    </row>
    <row r="96" spans="1:7" x14ac:dyDescent="0.3">
      <c r="A96" s="290"/>
      <c r="B96" s="303"/>
      <c r="C96" s="301"/>
      <c r="D96" s="301"/>
      <c r="E96" s="301"/>
      <c r="F96" s="270"/>
      <c r="G96" s="270"/>
    </row>
    <row r="97" spans="1:7" x14ac:dyDescent="0.3">
      <c r="A97" s="290">
        <v>16</v>
      </c>
      <c r="B97" s="299" t="s">
        <v>209</v>
      </c>
      <c r="C97" s="295"/>
      <c r="D97" s="295"/>
      <c r="E97" s="295"/>
      <c r="F97" s="295"/>
      <c r="G97" s="296"/>
    </row>
    <row r="98" spans="1:7" x14ac:dyDescent="0.3">
      <c r="A98" s="290">
        <f>+A97+0.1</f>
        <v>16.100000000000001</v>
      </c>
      <c r="B98" s="303" t="s">
        <v>210</v>
      </c>
      <c r="C98" s="301">
        <v>1.1000000000000001</v>
      </c>
      <c r="D98" s="301">
        <v>1</v>
      </c>
      <c r="E98" s="301" t="s">
        <v>173</v>
      </c>
      <c r="F98" s="301">
        <v>320</v>
      </c>
      <c r="G98" s="302">
        <f>+F98*D98*C98</f>
        <v>352</v>
      </c>
    </row>
    <row r="99" spans="1:7" x14ac:dyDescent="0.3">
      <c r="A99" s="290">
        <f>+A98+0.1</f>
        <v>16.200000000000003</v>
      </c>
      <c r="B99" s="303" t="s">
        <v>199</v>
      </c>
      <c r="C99" s="301"/>
      <c r="D99" s="301">
        <v>0.1</v>
      </c>
      <c r="E99" s="305" t="s">
        <v>144</v>
      </c>
      <c r="F99" s="301">
        <v>625</v>
      </c>
      <c r="G99" s="302">
        <f>+F99*D99</f>
        <v>62.5</v>
      </c>
    </row>
    <row r="100" spans="1:7" x14ac:dyDescent="0.3">
      <c r="A100" s="290">
        <f>+A99+0.1</f>
        <v>16.300000000000004</v>
      </c>
      <c r="B100" s="303" t="s">
        <v>145</v>
      </c>
      <c r="C100" s="301"/>
      <c r="D100" s="301">
        <v>0.05</v>
      </c>
      <c r="E100" s="301" t="s">
        <v>200</v>
      </c>
      <c r="F100" s="301">
        <f>SUM(G98:G99)</f>
        <v>414.5</v>
      </c>
      <c r="G100" s="302">
        <f>+F100*D100</f>
        <v>20.725000000000001</v>
      </c>
    </row>
    <row r="101" spans="1:7" x14ac:dyDescent="0.3">
      <c r="A101" s="290">
        <f>+A100+0.1</f>
        <v>16.400000000000006</v>
      </c>
      <c r="B101" s="303" t="s">
        <v>211</v>
      </c>
      <c r="C101" s="301"/>
      <c r="D101" s="301">
        <v>0.1</v>
      </c>
      <c r="E101" s="301" t="s">
        <v>157</v>
      </c>
      <c r="F101" s="301">
        <v>1156.7</v>
      </c>
      <c r="G101" s="302">
        <f>+F101*D101</f>
        <v>115.67000000000002</v>
      </c>
    </row>
    <row r="102" spans="1:7" x14ac:dyDescent="0.3">
      <c r="A102" s="290"/>
      <c r="B102" s="303"/>
      <c r="C102" s="301"/>
      <c r="D102" s="301"/>
      <c r="E102" s="301"/>
      <c r="F102" s="301" t="s">
        <v>174</v>
      </c>
      <c r="G102" s="302">
        <f>SUM(G98:G101)</f>
        <v>550.89499999999998</v>
      </c>
    </row>
    <row r="103" spans="1:7" x14ac:dyDescent="0.3">
      <c r="A103" s="290">
        <v>17</v>
      </c>
      <c r="B103" s="306" t="s">
        <v>212</v>
      </c>
      <c r="C103" s="295"/>
      <c r="D103" s="295"/>
      <c r="E103" s="295"/>
      <c r="F103" s="295"/>
      <c r="G103" s="296"/>
    </row>
    <row r="104" spans="1:7" x14ac:dyDescent="0.3">
      <c r="A104" s="290">
        <f>+A103+0.1</f>
        <v>17.100000000000001</v>
      </c>
      <c r="B104" s="304" t="s">
        <v>213</v>
      </c>
      <c r="C104" s="301"/>
      <c r="D104" s="301">
        <v>500</v>
      </c>
      <c r="E104" s="301" t="s">
        <v>214</v>
      </c>
      <c r="F104" s="301">
        <v>242</v>
      </c>
      <c r="G104" s="302">
        <f>D104*F104</f>
        <v>121000</v>
      </c>
    </row>
    <row r="105" spans="1:7" x14ac:dyDescent="0.3">
      <c r="A105" s="290">
        <f>+A104+0.1</f>
        <v>17.200000000000003</v>
      </c>
      <c r="B105" s="304" t="s">
        <v>215</v>
      </c>
      <c r="C105" s="301"/>
      <c r="D105" s="301">
        <v>500</v>
      </c>
      <c r="E105" s="305" t="s">
        <v>214</v>
      </c>
      <c r="F105" s="301">
        <v>2</v>
      </c>
      <c r="G105" s="302">
        <f>D105*F105</f>
        <v>1000</v>
      </c>
    </row>
    <row r="106" spans="1:7" x14ac:dyDescent="0.3">
      <c r="A106" s="290">
        <f>+A105+0.1</f>
        <v>17.300000000000004</v>
      </c>
      <c r="B106" s="304" t="s">
        <v>216</v>
      </c>
      <c r="C106" s="301"/>
      <c r="D106" s="301">
        <v>0.01</v>
      </c>
      <c r="E106" s="305" t="s">
        <v>200</v>
      </c>
      <c r="F106" s="301">
        <f>SUM(G104:G105)</f>
        <v>122000</v>
      </c>
      <c r="G106" s="302">
        <f>D106*F106</f>
        <v>1220</v>
      </c>
    </row>
    <row r="107" spans="1:7" x14ac:dyDescent="0.3">
      <c r="A107" s="290"/>
      <c r="B107" s="299"/>
      <c r="C107" s="295"/>
      <c r="D107" s="295"/>
      <c r="E107" s="295"/>
      <c r="F107" s="295" t="s">
        <v>174</v>
      </c>
      <c r="G107" s="296">
        <v>244.42</v>
      </c>
    </row>
    <row r="108" spans="1:7" x14ac:dyDescent="0.3">
      <c r="A108" s="290"/>
      <c r="B108" s="303"/>
      <c r="C108" s="301"/>
      <c r="D108" s="301"/>
      <c r="E108" s="301"/>
      <c r="F108" s="285"/>
      <c r="G108" s="286"/>
    </row>
    <row r="109" spans="1:7" x14ac:dyDescent="0.3">
      <c r="A109" s="290">
        <v>18</v>
      </c>
      <c r="B109" s="299" t="s">
        <v>217</v>
      </c>
      <c r="C109" s="295"/>
      <c r="D109" s="295"/>
      <c r="E109" s="295"/>
      <c r="F109" s="295"/>
      <c r="G109" s="296"/>
    </row>
    <row r="110" spans="1:7" x14ac:dyDescent="0.3">
      <c r="A110" s="290"/>
      <c r="B110" s="303"/>
      <c r="C110" s="301"/>
      <c r="D110" s="301"/>
      <c r="E110" s="301"/>
      <c r="F110" s="301"/>
      <c r="G110" s="302"/>
    </row>
    <row r="111" spans="1:7" x14ac:dyDescent="0.3">
      <c r="A111" s="290">
        <v>19</v>
      </c>
      <c r="B111" s="299" t="s">
        <v>218</v>
      </c>
      <c r="C111" s="295"/>
      <c r="D111" s="295"/>
      <c r="E111" s="295"/>
      <c r="F111" s="295"/>
      <c r="G111" s="296"/>
    </row>
    <row r="112" spans="1:7" x14ac:dyDescent="0.3">
      <c r="A112" s="290">
        <f>+A111+0.1</f>
        <v>19.100000000000001</v>
      </c>
      <c r="B112" s="303" t="s">
        <v>219</v>
      </c>
      <c r="C112" s="301"/>
      <c r="D112" s="301"/>
      <c r="E112" s="301"/>
      <c r="F112" s="301"/>
      <c r="G112" s="302"/>
    </row>
    <row r="113" spans="1:7" x14ac:dyDescent="0.3">
      <c r="A113" s="290">
        <f>+A112+0.1</f>
        <v>19.200000000000003</v>
      </c>
      <c r="B113" s="303" t="s">
        <v>220</v>
      </c>
      <c r="C113" s="301"/>
      <c r="D113" s="301">
        <v>7</v>
      </c>
      <c r="E113" s="301" t="s">
        <v>221</v>
      </c>
      <c r="F113" s="301">
        <f>+G107</f>
        <v>244.42</v>
      </c>
      <c r="G113" s="302">
        <f>D113*F113</f>
        <v>1710.9399999999998</v>
      </c>
    </row>
    <row r="114" spans="1:7" x14ac:dyDescent="0.3">
      <c r="A114" s="290">
        <f>+A113+0.1</f>
        <v>19.300000000000004</v>
      </c>
      <c r="B114" s="303" t="s">
        <v>222</v>
      </c>
      <c r="C114" s="301"/>
      <c r="D114" s="301">
        <v>0.62</v>
      </c>
      <c r="E114" s="301" t="s">
        <v>173</v>
      </c>
      <c r="F114" s="301">
        <v>850</v>
      </c>
      <c r="G114" s="302">
        <f>D114*F114</f>
        <v>527</v>
      </c>
    </row>
    <row r="115" spans="1:7" x14ac:dyDescent="0.3">
      <c r="A115" s="290">
        <f>+A114+0.1</f>
        <v>19.400000000000006</v>
      </c>
      <c r="B115" s="303" t="s">
        <v>223</v>
      </c>
      <c r="C115" s="301"/>
      <c r="D115" s="301">
        <v>0.73</v>
      </c>
      <c r="E115" s="301" t="s">
        <v>173</v>
      </c>
      <c r="F115" s="301">
        <v>900</v>
      </c>
      <c r="G115" s="302">
        <f>D115*F115</f>
        <v>657</v>
      </c>
    </row>
    <row r="116" spans="1:7" x14ac:dyDescent="0.3">
      <c r="A116" s="290">
        <f>+A115+0.1</f>
        <v>19.500000000000007</v>
      </c>
      <c r="B116" s="303" t="s">
        <v>224</v>
      </c>
      <c r="C116" s="301"/>
      <c r="D116" s="301">
        <v>60</v>
      </c>
      <c r="E116" s="301" t="s">
        <v>225</v>
      </c>
      <c r="F116" s="301">
        <v>2</v>
      </c>
      <c r="G116" s="302">
        <f>D116*F116</f>
        <v>120</v>
      </c>
    </row>
    <row r="117" spans="1:7" x14ac:dyDescent="0.3">
      <c r="A117" s="290"/>
      <c r="B117" s="303"/>
      <c r="C117" s="301"/>
      <c r="D117" s="301"/>
      <c r="E117" s="301"/>
      <c r="F117" s="295" t="s">
        <v>174</v>
      </c>
      <c r="G117" s="296">
        <f>SUM(G113:G116)</f>
        <v>3014.9399999999996</v>
      </c>
    </row>
    <row r="118" spans="1:7" x14ac:dyDescent="0.3">
      <c r="A118" s="290"/>
      <c r="B118" s="299"/>
      <c r="C118" s="295"/>
      <c r="D118" s="295"/>
      <c r="E118" s="295"/>
      <c r="F118" s="295"/>
      <c r="G118" s="296"/>
    </row>
    <row r="119" spans="1:7" x14ac:dyDescent="0.3">
      <c r="A119" s="290">
        <v>20</v>
      </c>
      <c r="B119" s="306" t="s">
        <v>226</v>
      </c>
      <c r="C119" s="295"/>
      <c r="D119" s="295" t="s">
        <v>135</v>
      </c>
      <c r="E119" s="295" t="s">
        <v>136</v>
      </c>
      <c r="F119" s="295" t="s">
        <v>227</v>
      </c>
      <c r="G119" s="296" t="s">
        <v>138</v>
      </c>
    </row>
    <row r="120" spans="1:7" x14ac:dyDescent="0.3">
      <c r="A120" s="290">
        <f>+A119+0.1</f>
        <v>20.100000000000001</v>
      </c>
      <c r="B120" s="304" t="s">
        <v>219</v>
      </c>
      <c r="C120" s="301"/>
      <c r="D120" s="301"/>
      <c r="E120" s="301"/>
      <c r="F120" s="301"/>
      <c r="G120" s="302"/>
    </row>
    <row r="121" spans="1:7" x14ac:dyDescent="0.3">
      <c r="A121" s="290">
        <f>+A120+0.1</f>
        <v>20.200000000000003</v>
      </c>
      <c r="B121" s="304" t="s">
        <v>220</v>
      </c>
      <c r="C121" s="301"/>
      <c r="D121" s="301">
        <v>7</v>
      </c>
      <c r="E121" s="301" t="s">
        <v>221</v>
      </c>
      <c r="F121" s="301">
        <f>+G107</f>
        <v>244.42</v>
      </c>
      <c r="G121" s="302">
        <f>D121*F121</f>
        <v>1710.9399999999998</v>
      </c>
    </row>
    <row r="122" spans="1:7" x14ac:dyDescent="0.3">
      <c r="A122" s="290">
        <f>+A121+0.1</f>
        <v>20.300000000000004</v>
      </c>
      <c r="B122" s="304" t="s">
        <v>228</v>
      </c>
      <c r="C122" s="301"/>
      <c r="D122" s="301">
        <v>0.52</v>
      </c>
      <c r="E122" s="301" t="s">
        <v>173</v>
      </c>
      <c r="F122" s="301">
        <v>1150</v>
      </c>
      <c r="G122" s="302">
        <f>D122*F122</f>
        <v>598</v>
      </c>
    </row>
    <row r="123" spans="1:7" x14ac:dyDescent="0.3">
      <c r="A123" s="290">
        <f>+A122+0.1</f>
        <v>20.400000000000006</v>
      </c>
      <c r="B123" s="303" t="s">
        <v>223</v>
      </c>
      <c r="C123" s="301"/>
      <c r="D123" s="301">
        <v>0.86</v>
      </c>
      <c r="E123" s="301" t="s">
        <v>173</v>
      </c>
      <c r="F123" s="301">
        <v>900</v>
      </c>
      <c r="G123" s="302">
        <f>D123*F123</f>
        <v>774</v>
      </c>
    </row>
    <row r="124" spans="1:7" x14ac:dyDescent="0.3">
      <c r="A124" s="290">
        <f>+A123+0.1</f>
        <v>20.500000000000007</v>
      </c>
      <c r="B124" s="304" t="s">
        <v>224</v>
      </c>
      <c r="C124" s="301"/>
      <c r="D124" s="301">
        <v>60</v>
      </c>
      <c r="E124" s="301" t="s">
        <v>225</v>
      </c>
      <c r="F124" s="301">
        <v>2</v>
      </c>
      <c r="G124" s="302">
        <f>D124*F124</f>
        <v>120</v>
      </c>
    </row>
    <row r="125" spans="1:7" x14ac:dyDescent="0.3">
      <c r="A125" s="290"/>
      <c r="B125" s="299"/>
      <c r="C125" s="295"/>
      <c r="D125" s="295"/>
      <c r="E125" s="295"/>
      <c r="F125" s="295" t="s">
        <v>174</v>
      </c>
      <c r="G125" s="296">
        <f>SUM(G121:G124)</f>
        <v>3202.9399999999996</v>
      </c>
    </row>
    <row r="126" spans="1:7" x14ac:dyDescent="0.3">
      <c r="A126" s="290"/>
      <c r="B126" s="299"/>
      <c r="C126" s="295"/>
      <c r="D126" s="295"/>
      <c r="E126" s="295"/>
      <c r="F126" s="295"/>
      <c r="G126" s="296"/>
    </row>
    <row r="127" spans="1:7" x14ac:dyDescent="0.3">
      <c r="A127" s="290">
        <v>21</v>
      </c>
      <c r="B127" s="306" t="s">
        <v>229</v>
      </c>
      <c r="C127" s="295"/>
      <c r="D127" s="295"/>
      <c r="E127" s="295"/>
      <c r="F127" s="295" t="s">
        <v>174</v>
      </c>
      <c r="G127" s="296">
        <f>+G125+450</f>
        <v>3652.9399999999996</v>
      </c>
    </row>
    <row r="128" spans="1:7" x14ac:dyDescent="0.3">
      <c r="A128" s="290"/>
      <c r="B128" s="299"/>
      <c r="C128" s="295"/>
      <c r="D128" s="295"/>
      <c r="E128" s="295"/>
      <c r="F128" s="295"/>
      <c r="G128" s="296"/>
    </row>
    <row r="129" spans="1:7" x14ac:dyDescent="0.3">
      <c r="A129" s="290">
        <v>22</v>
      </c>
      <c r="B129" s="306" t="s">
        <v>230</v>
      </c>
      <c r="C129" s="295"/>
      <c r="D129" s="295" t="s">
        <v>135</v>
      </c>
      <c r="E129" s="295" t="s">
        <v>136</v>
      </c>
      <c r="F129" s="295" t="s">
        <v>227</v>
      </c>
      <c r="G129" s="296" t="s">
        <v>138</v>
      </c>
    </row>
    <row r="130" spans="1:7" x14ac:dyDescent="0.3">
      <c r="A130" s="290">
        <f t="shared" ref="A130:A135" si="5">+A129+0.1</f>
        <v>22.1</v>
      </c>
      <c r="B130" s="304" t="s">
        <v>219</v>
      </c>
      <c r="C130" s="301"/>
      <c r="D130" s="301"/>
      <c r="E130" s="301"/>
      <c r="F130" s="301"/>
      <c r="G130" s="302"/>
    </row>
    <row r="131" spans="1:7" x14ac:dyDescent="0.3">
      <c r="A131" s="290">
        <f t="shared" si="5"/>
        <v>22.200000000000003</v>
      </c>
      <c r="B131" s="304" t="s">
        <v>220</v>
      </c>
      <c r="C131" s="301"/>
      <c r="D131" s="301">
        <v>8.23</v>
      </c>
      <c r="E131" s="301" t="s">
        <v>221</v>
      </c>
      <c r="F131" s="301">
        <f>+G107</f>
        <v>244.42</v>
      </c>
      <c r="G131" s="302">
        <f>D131*F131</f>
        <v>2011.5766000000001</v>
      </c>
    </row>
    <row r="132" spans="1:7" x14ac:dyDescent="0.3">
      <c r="A132" s="290">
        <f t="shared" si="5"/>
        <v>22.300000000000004</v>
      </c>
      <c r="B132" s="304" t="s">
        <v>228</v>
      </c>
      <c r="C132" s="301"/>
      <c r="D132" s="301">
        <v>0.44</v>
      </c>
      <c r="E132" s="301" t="s">
        <v>173</v>
      </c>
      <c r="F132" s="301">
        <v>1150</v>
      </c>
      <c r="G132" s="302">
        <f>D132*F132</f>
        <v>506</v>
      </c>
    </row>
    <row r="133" spans="1:7" x14ac:dyDescent="0.3">
      <c r="A133" s="290">
        <f t="shared" si="5"/>
        <v>22.400000000000006</v>
      </c>
      <c r="B133" s="303" t="s">
        <v>223</v>
      </c>
      <c r="C133" s="301"/>
      <c r="D133" s="301">
        <v>0.88</v>
      </c>
      <c r="E133" s="301" t="s">
        <v>173</v>
      </c>
      <c r="F133" s="301">
        <v>900</v>
      </c>
      <c r="G133" s="302">
        <f>D133*F133</f>
        <v>792</v>
      </c>
    </row>
    <row r="134" spans="1:7" x14ac:dyDescent="0.3">
      <c r="A134" s="290">
        <f t="shared" si="5"/>
        <v>22.500000000000007</v>
      </c>
      <c r="B134" s="304" t="s">
        <v>224</v>
      </c>
      <c r="C134" s="301"/>
      <c r="D134" s="301">
        <v>60</v>
      </c>
      <c r="E134" s="301" t="s">
        <v>225</v>
      </c>
      <c r="F134" s="301">
        <v>2</v>
      </c>
      <c r="G134" s="302">
        <f>D134*F134</f>
        <v>120</v>
      </c>
    </row>
    <row r="135" spans="1:7" x14ac:dyDescent="0.3">
      <c r="A135" s="290">
        <f t="shared" si="5"/>
        <v>22.600000000000009</v>
      </c>
      <c r="B135" s="304" t="s">
        <v>231</v>
      </c>
      <c r="C135" s="301"/>
      <c r="D135" s="301">
        <v>1</v>
      </c>
      <c r="E135" s="301" t="s">
        <v>232</v>
      </c>
      <c r="F135" s="301">
        <v>450</v>
      </c>
      <c r="G135" s="302">
        <f>D135*F135</f>
        <v>450</v>
      </c>
    </row>
    <row r="136" spans="1:7" x14ac:dyDescent="0.3">
      <c r="A136" s="290"/>
      <c r="B136" s="299"/>
      <c r="C136" s="295"/>
      <c r="D136" s="295"/>
      <c r="E136" s="295"/>
      <c r="F136" s="295" t="s">
        <v>174</v>
      </c>
      <c r="G136" s="296">
        <f>SUM(G131:G135)</f>
        <v>3879.5766000000003</v>
      </c>
    </row>
    <row r="137" spans="1:7" x14ac:dyDescent="0.3">
      <c r="A137" s="290"/>
      <c r="B137" s="299"/>
      <c r="C137" s="295"/>
      <c r="D137" s="295"/>
      <c r="E137" s="295"/>
      <c r="F137" s="295"/>
      <c r="G137" s="296"/>
    </row>
    <row r="138" spans="1:7" x14ac:dyDescent="0.3">
      <c r="A138" s="290"/>
      <c r="B138" s="299"/>
      <c r="C138" s="295"/>
      <c r="D138" s="295"/>
      <c r="E138" s="295"/>
      <c r="F138" s="295"/>
      <c r="G138" s="296"/>
    </row>
    <row r="139" spans="1:7" x14ac:dyDescent="0.3">
      <c r="A139" s="290"/>
      <c r="B139" s="306" t="s">
        <v>233</v>
      </c>
      <c r="C139" s="295">
        <v>1</v>
      </c>
      <c r="D139" s="307">
        <v>1</v>
      </c>
      <c r="E139" s="307" t="s">
        <v>17</v>
      </c>
      <c r="F139" s="295">
        <v>1800</v>
      </c>
      <c r="G139" s="296">
        <f>+F139*D139</f>
        <v>1800</v>
      </c>
    </row>
    <row r="140" spans="1:7" x14ac:dyDescent="0.3">
      <c r="A140" s="290"/>
      <c r="B140" s="299"/>
      <c r="C140" s="295"/>
      <c r="D140" s="295"/>
      <c r="E140" s="295"/>
      <c r="F140" s="295" t="s">
        <v>234</v>
      </c>
      <c r="G140" s="296">
        <f>SUM(G139:G139)</f>
        <v>1800</v>
      </c>
    </row>
    <row r="141" spans="1:7" x14ac:dyDescent="0.3">
      <c r="A141" s="290"/>
      <c r="B141" s="299"/>
      <c r="C141" s="295"/>
      <c r="D141" s="295"/>
      <c r="E141" s="295"/>
      <c r="F141" s="295"/>
      <c r="G141" s="296"/>
    </row>
    <row r="142" spans="1:7" x14ac:dyDescent="0.3">
      <c r="A142" s="290">
        <v>25</v>
      </c>
      <c r="B142" s="299" t="s">
        <v>235</v>
      </c>
      <c r="C142" s="295"/>
      <c r="D142" s="295"/>
      <c r="E142" s="295"/>
      <c r="F142" s="295"/>
      <c r="G142" s="296"/>
    </row>
    <row r="143" spans="1:7" x14ac:dyDescent="0.3">
      <c r="A143" s="290">
        <f>+A142+0.1</f>
        <v>25.1</v>
      </c>
      <c r="B143" s="299" t="s">
        <v>236</v>
      </c>
      <c r="C143" s="295"/>
      <c r="D143" s="295"/>
      <c r="E143" s="295"/>
      <c r="F143" s="295"/>
      <c r="G143" s="296"/>
    </row>
    <row r="144" spans="1:7" x14ac:dyDescent="0.3">
      <c r="A144" s="290">
        <f>+A143+0.1</f>
        <v>25.200000000000003</v>
      </c>
      <c r="B144" s="303" t="s">
        <v>237</v>
      </c>
      <c r="C144" s="301"/>
      <c r="D144" s="301">
        <v>7</v>
      </c>
      <c r="E144" s="301" t="s">
        <v>214</v>
      </c>
      <c r="F144" s="301">
        <f>+G107</f>
        <v>244.42</v>
      </c>
      <c r="G144" s="302">
        <f>D144*F144</f>
        <v>1710.9399999999998</v>
      </c>
    </row>
    <row r="145" spans="1:7" x14ac:dyDescent="0.3">
      <c r="A145" s="290">
        <f>+A144+0.1</f>
        <v>25.300000000000004</v>
      </c>
      <c r="B145" s="303" t="s">
        <v>238</v>
      </c>
      <c r="C145" s="301"/>
      <c r="D145" s="301">
        <v>1.1000000000000001</v>
      </c>
      <c r="E145" s="301" t="s">
        <v>232</v>
      </c>
      <c r="F145" s="301">
        <v>850</v>
      </c>
      <c r="G145" s="302">
        <f>D145*F145</f>
        <v>935.00000000000011</v>
      </c>
    </row>
    <row r="146" spans="1:7" x14ac:dyDescent="0.3">
      <c r="A146" s="290">
        <f>+A145+0.1</f>
        <v>25.400000000000006</v>
      </c>
      <c r="B146" s="303" t="s">
        <v>239</v>
      </c>
      <c r="C146" s="301"/>
      <c r="D146" s="301">
        <v>60</v>
      </c>
      <c r="E146" s="301" t="s">
        <v>225</v>
      </c>
      <c r="F146" s="301">
        <v>2</v>
      </c>
      <c r="G146" s="302">
        <f>D146*F146</f>
        <v>120</v>
      </c>
    </row>
    <row r="147" spans="1:7" x14ac:dyDescent="0.3">
      <c r="A147" s="290"/>
      <c r="B147" s="299"/>
      <c r="C147" s="295"/>
      <c r="D147" s="295"/>
      <c r="E147" s="295"/>
      <c r="F147" s="295" t="s">
        <v>174</v>
      </c>
      <c r="G147" s="296">
        <f>SUM(G144:G146)</f>
        <v>2765.94</v>
      </c>
    </row>
    <row r="148" spans="1:7" x14ac:dyDescent="0.3">
      <c r="A148" s="290">
        <v>26</v>
      </c>
      <c r="B148" s="299" t="s">
        <v>240</v>
      </c>
      <c r="C148" s="295"/>
      <c r="D148" s="295"/>
      <c r="E148" s="295"/>
      <c r="F148" s="295"/>
      <c r="G148" s="296"/>
    </row>
    <row r="149" spans="1:7" x14ac:dyDescent="0.3">
      <c r="A149" s="290">
        <f>+A148+0.1</f>
        <v>26.1</v>
      </c>
      <c r="B149" s="303" t="s">
        <v>237</v>
      </c>
      <c r="C149" s="301"/>
      <c r="D149" s="301">
        <v>8</v>
      </c>
      <c r="E149" s="301" t="s">
        <v>214</v>
      </c>
      <c r="F149" s="301">
        <f>+G107</f>
        <v>244.42</v>
      </c>
      <c r="G149" s="302">
        <f>D149*F149</f>
        <v>1955.36</v>
      </c>
    </row>
    <row r="150" spans="1:7" x14ac:dyDescent="0.3">
      <c r="A150" s="290">
        <f>+A149+0.1</f>
        <v>26.200000000000003</v>
      </c>
      <c r="B150" s="304" t="s">
        <v>241</v>
      </c>
      <c r="C150" s="301"/>
      <c r="D150" s="301">
        <v>1.1000000000000001</v>
      </c>
      <c r="E150" s="301" t="s">
        <v>232</v>
      </c>
      <c r="F150" s="301">
        <v>1200</v>
      </c>
      <c r="G150" s="302">
        <f>D150*F150</f>
        <v>1320</v>
      </c>
    </row>
    <row r="151" spans="1:7" x14ac:dyDescent="0.3">
      <c r="A151" s="290">
        <f>+A150+0.1</f>
        <v>26.300000000000004</v>
      </c>
      <c r="B151" s="304" t="s">
        <v>242</v>
      </c>
      <c r="C151" s="301"/>
      <c r="D151" s="301">
        <v>1.1000000000000001</v>
      </c>
      <c r="E151" s="305" t="s">
        <v>232</v>
      </c>
      <c r="F151" s="301">
        <v>85</v>
      </c>
      <c r="G151" s="302">
        <f>D151*F151</f>
        <v>93.500000000000014</v>
      </c>
    </row>
    <row r="152" spans="1:7" x14ac:dyDescent="0.3">
      <c r="A152" s="290">
        <f>+A151+0.1</f>
        <v>26.400000000000006</v>
      </c>
      <c r="B152" s="304" t="s">
        <v>243</v>
      </c>
      <c r="C152" s="301"/>
      <c r="D152" s="301">
        <v>6</v>
      </c>
      <c r="E152" s="301" t="s">
        <v>214</v>
      </c>
      <c r="F152" s="301">
        <v>115</v>
      </c>
      <c r="G152" s="302">
        <f>D152*F152</f>
        <v>690</v>
      </c>
    </row>
    <row r="153" spans="1:7" x14ac:dyDescent="0.3">
      <c r="A153" s="290">
        <f>+A152+0.1</f>
        <v>26.500000000000007</v>
      </c>
      <c r="B153" s="303" t="s">
        <v>239</v>
      </c>
      <c r="C153" s="301"/>
      <c r="D153" s="301">
        <v>80</v>
      </c>
      <c r="E153" s="301" t="s">
        <v>225</v>
      </c>
      <c r="F153" s="301">
        <v>2</v>
      </c>
      <c r="G153" s="302">
        <f>D153*F153</f>
        <v>160</v>
      </c>
    </row>
    <row r="154" spans="1:7" x14ac:dyDescent="0.3">
      <c r="A154" s="290"/>
      <c r="B154" s="299"/>
      <c r="C154" s="295"/>
      <c r="D154" s="295"/>
      <c r="E154" s="295"/>
      <c r="F154" s="295" t="s">
        <v>174</v>
      </c>
      <c r="G154" s="296">
        <f>SUM(G149:G153)</f>
        <v>4218.8599999999997</v>
      </c>
    </row>
    <row r="155" spans="1:7" x14ac:dyDescent="0.3">
      <c r="A155" s="290"/>
      <c r="B155" s="299"/>
      <c r="C155" s="295"/>
      <c r="D155" s="295"/>
      <c r="E155" s="295"/>
      <c r="F155" s="295"/>
      <c r="G155" s="296"/>
    </row>
    <row r="156" spans="1:7" x14ac:dyDescent="0.3">
      <c r="A156" s="290">
        <v>27</v>
      </c>
      <c r="B156" s="299" t="s">
        <v>244</v>
      </c>
      <c r="C156" s="295"/>
      <c r="D156" s="295"/>
      <c r="E156" s="295"/>
      <c r="F156" s="295"/>
      <c r="G156" s="296"/>
    </row>
    <row r="157" spans="1:7" x14ac:dyDescent="0.3">
      <c r="A157" s="290">
        <f>+A156+0.1</f>
        <v>27.1</v>
      </c>
      <c r="B157" s="303" t="s">
        <v>237</v>
      </c>
      <c r="C157" s="301"/>
      <c r="D157" s="301">
        <v>7</v>
      </c>
      <c r="E157" s="301" t="s">
        <v>214</v>
      </c>
      <c r="F157" s="301">
        <f>+G107</f>
        <v>244.42</v>
      </c>
      <c r="G157" s="302">
        <f>D157*F157</f>
        <v>1710.9399999999998</v>
      </c>
    </row>
    <row r="158" spans="1:7" x14ac:dyDescent="0.3">
      <c r="A158" s="290">
        <f>+A157+0.1</f>
        <v>27.200000000000003</v>
      </c>
      <c r="B158" s="303" t="s">
        <v>245</v>
      </c>
      <c r="C158" s="301"/>
      <c r="D158" s="301">
        <v>1.1000000000000001</v>
      </c>
      <c r="E158" s="301" t="s">
        <v>232</v>
      </c>
      <c r="F158" s="301">
        <v>1100</v>
      </c>
      <c r="G158" s="302">
        <f>D158*F158</f>
        <v>1210</v>
      </c>
    </row>
    <row r="159" spans="1:7" x14ac:dyDescent="0.3">
      <c r="A159" s="290">
        <f>+A158+0.1</f>
        <v>27.300000000000004</v>
      </c>
      <c r="B159" s="303" t="s">
        <v>239</v>
      </c>
      <c r="C159" s="301"/>
      <c r="D159" s="301">
        <v>60</v>
      </c>
      <c r="E159" s="301" t="s">
        <v>225</v>
      </c>
      <c r="F159" s="301">
        <v>2</v>
      </c>
      <c r="G159" s="302">
        <f>+D159*F159</f>
        <v>120</v>
      </c>
    </row>
    <row r="160" spans="1:7" x14ac:dyDescent="0.3">
      <c r="A160" s="290"/>
      <c r="B160" s="299"/>
      <c r="C160" s="295"/>
      <c r="D160" s="295"/>
      <c r="E160" s="295"/>
      <c r="F160" s="295" t="s">
        <v>174</v>
      </c>
      <c r="G160" s="296">
        <f>SUM(G157:G159)</f>
        <v>3040.9399999999996</v>
      </c>
    </row>
    <row r="161" spans="1:7" ht="31.2" x14ac:dyDescent="0.3">
      <c r="A161" s="290">
        <v>28</v>
      </c>
      <c r="B161" s="308" t="s">
        <v>246</v>
      </c>
      <c r="C161" s="285"/>
      <c r="D161" s="285"/>
      <c r="E161" s="285"/>
      <c r="F161" s="285"/>
      <c r="G161" s="286"/>
    </row>
    <row r="162" spans="1:7" ht="31.2" x14ac:dyDescent="0.3">
      <c r="A162" s="290">
        <f>+A161+0.1</f>
        <v>28.1</v>
      </c>
      <c r="B162" s="294" t="s">
        <v>247</v>
      </c>
      <c r="C162" s="285"/>
      <c r="D162" s="285"/>
      <c r="E162" s="285"/>
      <c r="F162" s="285"/>
      <c r="G162" s="286"/>
    </row>
    <row r="163" spans="1:7" x14ac:dyDescent="0.3">
      <c r="A163" s="290">
        <f t="shared" ref="A163:A169" si="6">+A162+0.1</f>
        <v>28.200000000000003</v>
      </c>
      <c r="B163" s="309" t="s">
        <v>248</v>
      </c>
      <c r="C163" s="301"/>
      <c r="D163" s="301">
        <v>10</v>
      </c>
      <c r="E163" s="301" t="s">
        <v>168</v>
      </c>
      <c r="F163" s="301">
        <v>10</v>
      </c>
      <c r="G163" s="302">
        <f t="shared" ref="G163:G168" si="7">D163*F163</f>
        <v>100</v>
      </c>
    </row>
    <row r="164" spans="1:7" x14ac:dyDescent="0.3">
      <c r="A164" s="290">
        <f t="shared" si="6"/>
        <v>28.300000000000004</v>
      </c>
      <c r="B164" s="309" t="s">
        <v>249</v>
      </c>
      <c r="C164" s="301"/>
      <c r="D164" s="301">
        <v>1.1000000000000001</v>
      </c>
      <c r="E164" s="301" t="s">
        <v>173</v>
      </c>
      <c r="F164" s="301">
        <f>+G125</f>
        <v>3202.9399999999996</v>
      </c>
      <c r="G164" s="302">
        <f t="shared" si="7"/>
        <v>3523.2339999999999</v>
      </c>
    </row>
    <row r="165" spans="1:7" x14ac:dyDescent="0.3">
      <c r="A165" s="290">
        <f t="shared" si="6"/>
        <v>28.400000000000006</v>
      </c>
      <c r="B165" s="309" t="s">
        <v>250</v>
      </c>
      <c r="C165" s="301"/>
      <c r="D165" s="301">
        <v>10</v>
      </c>
      <c r="E165" s="301" t="s">
        <v>168</v>
      </c>
      <c r="F165" s="301">
        <v>185</v>
      </c>
      <c r="G165" s="302">
        <f t="shared" si="7"/>
        <v>1850</v>
      </c>
    </row>
    <row r="166" spans="1:7" x14ac:dyDescent="0.3">
      <c r="A166" s="290">
        <f t="shared" si="6"/>
        <v>28.500000000000007</v>
      </c>
      <c r="B166" s="309" t="s">
        <v>251</v>
      </c>
      <c r="C166" s="301"/>
      <c r="D166" s="301">
        <v>0.2</v>
      </c>
      <c r="E166" s="301" t="s">
        <v>252</v>
      </c>
      <c r="F166" s="285">
        <v>220</v>
      </c>
      <c r="G166" s="302">
        <f t="shared" si="7"/>
        <v>44</v>
      </c>
    </row>
    <row r="167" spans="1:7" x14ac:dyDescent="0.3">
      <c r="A167" s="290">
        <f t="shared" si="6"/>
        <v>28.600000000000009</v>
      </c>
      <c r="B167" s="291" t="s">
        <v>253</v>
      </c>
      <c r="C167" s="301"/>
      <c r="D167" s="301">
        <v>0.1</v>
      </c>
      <c r="E167" s="301" t="s">
        <v>154</v>
      </c>
      <c r="F167" s="301">
        <v>348</v>
      </c>
      <c r="G167" s="302">
        <f t="shared" si="7"/>
        <v>34.800000000000004</v>
      </c>
    </row>
    <row r="168" spans="1:7" x14ac:dyDescent="0.3">
      <c r="A168" s="290">
        <f t="shared" si="6"/>
        <v>28.70000000000001</v>
      </c>
      <c r="B168" s="291" t="s">
        <v>254</v>
      </c>
      <c r="C168" s="301"/>
      <c r="D168" s="301">
        <f>10*0.02</f>
        <v>0.2</v>
      </c>
      <c r="E168" s="301" t="s">
        <v>173</v>
      </c>
      <c r="F168" s="301">
        <f>+G160</f>
        <v>3040.9399999999996</v>
      </c>
      <c r="G168" s="302">
        <f t="shared" si="7"/>
        <v>608.18799999999999</v>
      </c>
    </row>
    <row r="169" spans="1:7" x14ac:dyDescent="0.3">
      <c r="A169" s="290">
        <f t="shared" si="6"/>
        <v>28.800000000000011</v>
      </c>
      <c r="B169" s="309" t="s">
        <v>255</v>
      </c>
      <c r="C169" s="285"/>
      <c r="D169" s="285">
        <v>0.05</v>
      </c>
      <c r="E169" s="285" t="s">
        <v>157</v>
      </c>
      <c r="F169" s="285">
        <f>SUM(G163:G167)</f>
        <v>5552.0340000000006</v>
      </c>
      <c r="G169" s="286">
        <f>+F169*D169</f>
        <v>277.60170000000005</v>
      </c>
    </row>
    <row r="170" spans="1:7" x14ac:dyDescent="0.3">
      <c r="A170" s="290"/>
      <c r="B170" s="291"/>
      <c r="C170" s="285"/>
      <c r="D170" s="285"/>
      <c r="E170" s="285"/>
      <c r="F170" s="295" t="s">
        <v>174</v>
      </c>
      <c r="G170" s="296">
        <f>SUM(G163:G169)/10</f>
        <v>643.78237000000013</v>
      </c>
    </row>
    <row r="171" spans="1:7" ht="31.2" x14ac:dyDescent="0.3">
      <c r="A171" s="290">
        <v>29</v>
      </c>
      <c r="B171" s="294" t="s">
        <v>256</v>
      </c>
      <c r="C171" s="285"/>
      <c r="D171" s="285"/>
      <c r="E171" s="285"/>
      <c r="F171" s="285"/>
      <c r="G171" s="286"/>
    </row>
    <row r="172" spans="1:7" x14ac:dyDescent="0.3">
      <c r="A172" s="290">
        <f>+A171+0.1</f>
        <v>29.1</v>
      </c>
      <c r="B172" s="309" t="s">
        <v>248</v>
      </c>
      <c r="C172" s="301"/>
      <c r="D172" s="301">
        <v>100</v>
      </c>
      <c r="E172" s="301" t="s">
        <v>159</v>
      </c>
      <c r="F172" s="301">
        <v>10</v>
      </c>
      <c r="G172" s="302">
        <f>D172*F172</f>
        <v>1000</v>
      </c>
    </row>
    <row r="173" spans="1:7" x14ac:dyDescent="0.3">
      <c r="A173" s="290">
        <f>+A172+0.1</f>
        <v>29.200000000000003</v>
      </c>
      <c r="B173" s="309" t="s">
        <v>257</v>
      </c>
      <c r="C173" s="301"/>
      <c r="D173" s="301">
        <f>0.13*100</f>
        <v>13</v>
      </c>
      <c r="E173" s="301" t="s">
        <v>173</v>
      </c>
      <c r="F173" s="301">
        <f>+G125</f>
        <v>3202.9399999999996</v>
      </c>
      <c r="G173" s="302">
        <f>D173*F173</f>
        <v>41638.219999999994</v>
      </c>
    </row>
    <row r="174" spans="1:7" x14ac:dyDescent="0.3">
      <c r="A174" s="290">
        <f>+A173+0.1</f>
        <v>29.300000000000004</v>
      </c>
      <c r="B174" s="309" t="s">
        <v>258</v>
      </c>
      <c r="C174" s="301"/>
      <c r="D174" s="301">
        <v>100</v>
      </c>
      <c r="E174" s="301" t="s">
        <v>159</v>
      </c>
      <c r="F174" s="301">
        <v>195</v>
      </c>
      <c r="G174" s="302">
        <f>D174*F174</f>
        <v>19500</v>
      </c>
    </row>
    <row r="175" spans="1:7" x14ac:dyDescent="0.3">
      <c r="A175" s="290">
        <f>+A174+0.1</f>
        <v>29.400000000000006</v>
      </c>
      <c r="B175" s="309" t="s">
        <v>251</v>
      </c>
      <c r="C175" s="301"/>
      <c r="D175" s="301">
        <v>6</v>
      </c>
      <c r="E175" s="301" t="s">
        <v>252</v>
      </c>
      <c r="F175" s="285">
        <f>+G107</f>
        <v>244.42</v>
      </c>
      <c r="G175" s="302">
        <f>D175*F175</f>
        <v>1466.52</v>
      </c>
    </row>
    <row r="176" spans="1:7" x14ac:dyDescent="0.3">
      <c r="A176" s="290">
        <f>+A175+0.1</f>
        <v>29.500000000000007</v>
      </c>
      <c r="B176" s="309" t="s">
        <v>255</v>
      </c>
      <c r="C176" s="285"/>
      <c r="D176" s="285">
        <v>0.05</v>
      </c>
      <c r="E176" s="285" t="s">
        <v>157</v>
      </c>
      <c r="F176" s="285">
        <f>SUM(G172:G175)</f>
        <v>63604.739999999991</v>
      </c>
      <c r="G176" s="286">
        <f>+F176*D176</f>
        <v>3180.2369999999996</v>
      </c>
    </row>
    <row r="177" spans="1:7" x14ac:dyDescent="0.3">
      <c r="A177" s="290"/>
      <c r="B177" s="291"/>
      <c r="C177" s="285"/>
      <c r="D177" s="285"/>
      <c r="E177" s="285"/>
      <c r="F177" s="295" t="s">
        <v>161</v>
      </c>
      <c r="G177" s="296">
        <f>SUM(G172:G176)/D172</f>
        <v>667.84976999999981</v>
      </c>
    </row>
    <row r="178" spans="1:7" ht="31.2" x14ac:dyDescent="0.3">
      <c r="A178" s="290">
        <v>30</v>
      </c>
      <c r="B178" s="294" t="s">
        <v>259</v>
      </c>
      <c r="C178" s="285"/>
      <c r="D178" s="285"/>
      <c r="E178" s="285"/>
      <c r="F178" s="285"/>
      <c r="G178" s="286"/>
    </row>
    <row r="179" spans="1:7" x14ac:dyDescent="0.3">
      <c r="A179" s="290">
        <f>+A178+0.1</f>
        <v>30.1</v>
      </c>
      <c r="B179" s="309" t="s">
        <v>260</v>
      </c>
      <c r="C179" s="301"/>
      <c r="D179" s="301">
        <v>10</v>
      </c>
      <c r="E179" s="301" t="s">
        <v>159</v>
      </c>
      <c r="F179" s="301">
        <v>10</v>
      </c>
      <c r="G179" s="302">
        <f>D179*F179</f>
        <v>100</v>
      </c>
    </row>
    <row r="180" spans="1:7" x14ac:dyDescent="0.3">
      <c r="A180" s="290">
        <f>+A179+0.1</f>
        <v>30.200000000000003</v>
      </c>
      <c r="B180" s="309" t="s">
        <v>261</v>
      </c>
      <c r="C180" s="301"/>
      <c r="D180" s="301">
        <f>10*0.5*0.05</f>
        <v>0.25</v>
      </c>
      <c r="E180" s="301" t="s">
        <v>173</v>
      </c>
      <c r="F180" s="301">
        <f>+G117</f>
        <v>3014.9399999999996</v>
      </c>
      <c r="G180" s="302">
        <f>D180*F180</f>
        <v>753.7349999999999</v>
      </c>
    </row>
    <row r="181" spans="1:7" x14ac:dyDescent="0.3">
      <c r="A181" s="290">
        <f>+A180+0.1</f>
        <v>30.300000000000004</v>
      </c>
      <c r="B181" s="309" t="s">
        <v>262</v>
      </c>
      <c r="C181" s="301"/>
      <c r="D181" s="301">
        <f>10*0.1*0.5</f>
        <v>0.5</v>
      </c>
      <c r="E181" s="301" t="s">
        <v>159</v>
      </c>
      <c r="F181" s="301">
        <v>860</v>
      </c>
      <c r="G181" s="302">
        <f>D181*F181</f>
        <v>430</v>
      </c>
    </row>
    <row r="182" spans="1:7" x14ac:dyDescent="0.3">
      <c r="A182" s="290">
        <f>+A181+0.1</f>
        <v>30.400000000000006</v>
      </c>
      <c r="B182" s="309" t="s">
        <v>263</v>
      </c>
      <c r="C182" s="301"/>
      <c r="D182" s="301">
        <f>+D181*1.1</f>
        <v>0.55000000000000004</v>
      </c>
      <c r="E182" s="301" t="s">
        <v>173</v>
      </c>
      <c r="F182" s="301">
        <v>1100</v>
      </c>
      <c r="G182" s="302">
        <f>D182*F182</f>
        <v>605</v>
      </c>
    </row>
    <row r="183" spans="1:7" x14ac:dyDescent="0.3">
      <c r="A183" s="290">
        <f>+A182+0.1</f>
        <v>30.500000000000007</v>
      </c>
      <c r="B183" s="309" t="s">
        <v>255</v>
      </c>
      <c r="C183" s="285"/>
      <c r="D183" s="285">
        <v>0.05</v>
      </c>
      <c r="E183" s="285" t="s">
        <v>157</v>
      </c>
      <c r="F183" s="285">
        <f>SUM(G179:G182)</f>
        <v>1888.7349999999999</v>
      </c>
      <c r="G183" s="286">
        <f>+F183*D183</f>
        <v>94.436750000000004</v>
      </c>
    </row>
    <row r="184" spans="1:7" x14ac:dyDescent="0.3">
      <c r="A184" s="290"/>
      <c r="B184" s="291"/>
      <c r="C184" s="285"/>
      <c r="D184" s="285"/>
      <c r="E184" s="285"/>
      <c r="F184" s="295" t="s">
        <v>161</v>
      </c>
      <c r="G184" s="296">
        <f>SUM(G179:G183)</f>
        <v>1983.17175</v>
      </c>
    </row>
    <row r="185" spans="1:7" ht="31.2" x14ac:dyDescent="0.3">
      <c r="A185" s="290">
        <v>31</v>
      </c>
      <c r="B185" s="310" t="s">
        <v>264</v>
      </c>
      <c r="C185" s="285"/>
      <c r="D185" s="285"/>
      <c r="E185" s="285"/>
      <c r="F185" s="285"/>
      <c r="G185" s="286"/>
    </row>
    <row r="186" spans="1:7" x14ac:dyDescent="0.3">
      <c r="A186" s="290">
        <f t="shared" ref="A186:A191" si="8">+A185+0.1</f>
        <v>31.1</v>
      </c>
      <c r="B186" s="309" t="s">
        <v>265</v>
      </c>
      <c r="C186" s="311"/>
      <c r="D186" s="285">
        <f>+(3+5*0.6)*0.014</f>
        <v>8.4000000000000005E-2</v>
      </c>
      <c r="E186" s="285" t="s">
        <v>17</v>
      </c>
      <c r="F186" s="285">
        <f>+G140</f>
        <v>1800</v>
      </c>
      <c r="G186" s="286">
        <f t="shared" ref="G186:G191" si="9">+F186*D186</f>
        <v>151.20000000000002</v>
      </c>
    </row>
    <row r="187" spans="1:7" x14ac:dyDescent="0.3">
      <c r="A187" s="290">
        <f t="shared" si="8"/>
        <v>31.200000000000003</v>
      </c>
      <c r="B187" s="309" t="s">
        <v>93</v>
      </c>
      <c r="C187" s="311"/>
      <c r="D187" s="285">
        <f>+D186*2</f>
        <v>0.16800000000000001</v>
      </c>
      <c r="E187" s="285" t="s">
        <v>266</v>
      </c>
      <c r="F187" s="285">
        <v>40</v>
      </c>
      <c r="G187" s="286">
        <f t="shared" si="9"/>
        <v>6.7200000000000006</v>
      </c>
    </row>
    <row r="188" spans="1:7" x14ac:dyDescent="0.3">
      <c r="A188" s="290">
        <f t="shared" si="8"/>
        <v>31.300000000000004</v>
      </c>
      <c r="B188" s="309" t="s">
        <v>267</v>
      </c>
      <c r="C188" s="311"/>
      <c r="D188" s="285">
        <f>0.45*0.25</f>
        <v>0.1125</v>
      </c>
      <c r="E188" s="285" t="s">
        <v>6</v>
      </c>
      <c r="F188" s="285">
        <f>+G125</f>
        <v>3202.9399999999996</v>
      </c>
      <c r="G188" s="286">
        <f t="shared" si="9"/>
        <v>360.33074999999997</v>
      </c>
    </row>
    <row r="189" spans="1:7" x14ac:dyDescent="0.3">
      <c r="A189" s="290">
        <f t="shared" si="8"/>
        <v>31.400000000000006</v>
      </c>
      <c r="B189" s="309" t="s">
        <v>268</v>
      </c>
      <c r="C189" s="311"/>
      <c r="D189" s="285">
        <f>+D186</f>
        <v>8.4000000000000005E-2</v>
      </c>
      <c r="E189" s="285" t="s">
        <v>269</v>
      </c>
      <c r="F189" s="285">
        <v>260</v>
      </c>
      <c r="G189" s="286">
        <f t="shared" si="9"/>
        <v>21.84</v>
      </c>
    </row>
    <row r="190" spans="1:7" x14ac:dyDescent="0.3">
      <c r="A190" s="290">
        <f t="shared" si="8"/>
        <v>31.500000000000007</v>
      </c>
      <c r="B190" s="309" t="s">
        <v>270</v>
      </c>
      <c r="C190" s="311"/>
      <c r="D190" s="285">
        <f>+D188*1.1</f>
        <v>0.12375000000000001</v>
      </c>
      <c r="E190" s="285" t="s">
        <v>6</v>
      </c>
      <c r="F190" s="285">
        <v>650</v>
      </c>
      <c r="G190" s="286">
        <f t="shared" si="9"/>
        <v>80.437500000000014</v>
      </c>
    </row>
    <row r="191" spans="1:7" x14ac:dyDescent="0.3">
      <c r="A191" s="290">
        <f t="shared" si="8"/>
        <v>31.600000000000009</v>
      </c>
      <c r="B191" s="309" t="s">
        <v>271</v>
      </c>
      <c r="C191" s="311"/>
      <c r="D191" s="285">
        <v>0.1</v>
      </c>
      <c r="E191" s="285" t="s">
        <v>200</v>
      </c>
      <c r="F191" s="285">
        <f>SUM(G187:G190)</f>
        <v>469.32824999999997</v>
      </c>
      <c r="G191" s="286">
        <f t="shared" si="9"/>
        <v>46.932825000000001</v>
      </c>
    </row>
    <row r="192" spans="1:7" x14ac:dyDescent="0.3">
      <c r="A192" s="290"/>
      <c r="B192" s="309"/>
      <c r="C192" s="311"/>
      <c r="D192" s="311"/>
      <c r="E192" s="311"/>
      <c r="F192" s="284" t="s">
        <v>174</v>
      </c>
      <c r="G192" s="293">
        <f>SUM(G186:G191)/D188</f>
        <v>5932.9873333333326</v>
      </c>
    </row>
    <row r="193" spans="1:7" ht="31.2" x14ac:dyDescent="0.3">
      <c r="A193" s="290">
        <v>32</v>
      </c>
      <c r="B193" s="310" t="s">
        <v>272</v>
      </c>
      <c r="C193" s="285"/>
      <c r="D193" s="285"/>
      <c r="E193" s="285"/>
      <c r="F193" s="285"/>
      <c r="G193" s="286"/>
    </row>
    <row r="194" spans="1:7" x14ac:dyDescent="0.3">
      <c r="A194" s="290">
        <f>+A193+0.1</f>
        <v>32.1</v>
      </c>
      <c r="B194" s="309" t="s">
        <v>273</v>
      </c>
      <c r="C194" s="309"/>
      <c r="D194" s="285">
        <v>13</v>
      </c>
      <c r="E194" s="285" t="s">
        <v>130</v>
      </c>
      <c r="F194" s="285">
        <v>23</v>
      </c>
      <c r="G194" s="286">
        <f t="shared" ref="G194:G200" si="10">+F194*D194</f>
        <v>299</v>
      </c>
    </row>
    <row r="195" spans="1:7" x14ac:dyDescent="0.3">
      <c r="A195" s="290">
        <f t="shared" ref="A195:A200" si="11">+A194+0.1</f>
        <v>32.200000000000003</v>
      </c>
      <c r="B195" s="309" t="s">
        <v>274</v>
      </c>
      <c r="C195" s="309"/>
      <c r="D195" s="285">
        <f>2.2*0.014</f>
        <v>3.0800000000000004E-2</v>
      </c>
      <c r="E195" s="285" t="s">
        <v>275</v>
      </c>
      <c r="F195" s="285">
        <f>+G140</f>
        <v>1800</v>
      </c>
      <c r="G195" s="286">
        <f t="shared" si="10"/>
        <v>55.440000000000005</v>
      </c>
    </row>
    <row r="196" spans="1:7" x14ac:dyDescent="0.3">
      <c r="A196" s="290">
        <f t="shared" si="11"/>
        <v>32.300000000000004</v>
      </c>
      <c r="B196" s="309" t="s">
        <v>276</v>
      </c>
      <c r="C196" s="309"/>
      <c r="D196" s="285">
        <f>2*D195</f>
        <v>6.1600000000000009E-2</v>
      </c>
      <c r="E196" s="285" t="s">
        <v>94</v>
      </c>
      <c r="F196" s="285">
        <v>38</v>
      </c>
      <c r="G196" s="286">
        <f t="shared" si="10"/>
        <v>2.3408000000000002</v>
      </c>
    </row>
    <row r="197" spans="1:7" x14ac:dyDescent="0.3">
      <c r="A197" s="290">
        <f t="shared" si="11"/>
        <v>32.400000000000006</v>
      </c>
      <c r="B197" s="309" t="s">
        <v>277</v>
      </c>
      <c r="C197" s="309"/>
      <c r="D197" s="285">
        <f>1*0.15*0.03*5+15*0.15*0.2*0.03</f>
        <v>3.5999999999999997E-2</v>
      </c>
      <c r="E197" s="285" t="s">
        <v>6</v>
      </c>
      <c r="F197" s="285">
        <f>+G147</f>
        <v>2765.94</v>
      </c>
      <c r="G197" s="286">
        <f t="shared" si="10"/>
        <v>99.57383999999999</v>
      </c>
    </row>
    <row r="198" spans="1:7" x14ac:dyDescent="0.3">
      <c r="A198" s="290">
        <f t="shared" si="11"/>
        <v>32.500000000000007</v>
      </c>
      <c r="B198" s="309" t="s">
        <v>278</v>
      </c>
      <c r="C198" s="309"/>
      <c r="D198" s="285">
        <f>0.12*0.12*2</f>
        <v>2.8799999999999999E-2</v>
      </c>
      <c r="E198" s="285" t="str">
        <f>+E197</f>
        <v>M3</v>
      </c>
      <c r="F198" s="285">
        <f>+G117</f>
        <v>3014.9399999999996</v>
      </c>
      <c r="G198" s="286">
        <f t="shared" si="10"/>
        <v>86.830271999999979</v>
      </c>
    </row>
    <row r="199" spans="1:7" x14ac:dyDescent="0.3">
      <c r="A199" s="290">
        <f t="shared" si="11"/>
        <v>32.600000000000009</v>
      </c>
      <c r="B199" s="309" t="s">
        <v>279</v>
      </c>
      <c r="C199" s="309"/>
      <c r="D199" s="285">
        <v>13</v>
      </c>
      <c r="E199" s="285" t="s">
        <v>130</v>
      </c>
      <c r="F199" s="285">
        <v>14.5</v>
      </c>
      <c r="G199" s="286">
        <f t="shared" si="10"/>
        <v>188.5</v>
      </c>
    </row>
    <row r="200" spans="1:7" x14ac:dyDescent="0.3">
      <c r="A200" s="290">
        <f t="shared" si="11"/>
        <v>32.70000000000001</v>
      </c>
      <c r="B200" s="309" t="s">
        <v>280</v>
      </c>
      <c r="C200" s="309"/>
      <c r="D200" s="285">
        <v>13</v>
      </c>
      <c r="E200" s="285" t="s">
        <v>130</v>
      </c>
      <c r="F200" s="285">
        <v>1.2</v>
      </c>
      <c r="G200" s="286">
        <f t="shared" si="10"/>
        <v>15.6</v>
      </c>
    </row>
    <row r="201" spans="1:7" x14ac:dyDescent="0.3">
      <c r="A201" s="290"/>
      <c r="B201" s="309"/>
      <c r="C201" s="309"/>
      <c r="D201" s="285"/>
      <c r="E201" s="285"/>
      <c r="F201" s="312" t="s">
        <v>146</v>
      </c>
      <c r="G201" s="313">
        <f>SUM(G194:G200)</f>
        <v>747.28491199999996</v>
      </c>
    </row>
    <row r="202" spans="1:7" x14ac:dyDescent="0.3">
      <c r="A202" s="290">
        <v>33</v>
      </c>
      <c r="B202" s="310" t="s">
        <v>281</v>
      </c>
      <c r="C202" s="285"/>
      <c r="D202" s="285"/>
      <c r="E202" s="285"/>
      <c r="F202" s="285"/>
      <c r="G202" s="286"/>
    </row>
    <row r="203" spans="1:7" x14ac:dyDescent="0.3">
      <c r="A203" s="290">
        <f>+A202+0.1</f>
        <v>33.1</v>
      </c>
      <c r="B203" s="309" t="s">
        <v>282</v>
      </c>
      <c r="C203" s="309"/>
      <c r="D203" s="285">
        <f>0.005*1.1</f>
        <v>5.5000000000000005E-3</v>
      </c>
      <c r="E203" s="285" t="s">
        <v>6</v>
      </c>
      <c r="F203" s="285">
        <f>+G160</f>
        <v>3040.9399999999996</v>
      </c>
      <c r="G203" s="286">
        <f>+F203*D203</f>
        <v>16.725169999999999</v>
      </c>
    </row>
    <row r="204" spans="1:7" x14ac:dyDescent="0.3">
      <c r="A204" s="290">
        <f>+A203+0.1</f>
        <v>33.200000000000003</v>
      </c>
      <c r="B204" s="309" t="s">
        <v>283</v>
      </c>
      <c r="C204" s="309"/>
      <c r="D204" s="285">
        <v>1</v>
      </c>
      <c r="E204" s="285" t="s">
        <v>5</v>
      </c>
      <c r="F204" s="285">
        <v>25</v>
      </c>
      <c r="G204" s="286">
        <f>+F204*D204</f>
        <v>25</v>
      </c>
    </row>
    <row r="205" spans="1:7" x14ac:dyDescent="0.3">
      <c r="A205" s="290"/>
      <c r="B205" s="309"/>
      <c r="C205" s="309"/>
      <c r="D205" s="285"/>
      <c r="E205" s="285"/>
      <c r="F205" s="312" t="s">
        <v>146</v>
      </c>
      <c r="G205" s="313">
        <f>SUM(G203:G204)</f>
        <v>41.725169999999999</v>
      </c>
    </row>
    <row r="206" spans="1:7" x14ac:dyDescent="0.3">
      <c r="A206" s="290"/>
      <c r="B206" s="309"/>
      <c r="C206" s="309"/>
      <c r="D206" s="285"/>
      <c r="E206" s="285"/>
      <c r="F206" s="312"/>
      <c r="G206" s="313"/>
    </row>
    <row r="207" spans="1:7" x14ac:dyDescent="0.3">
      <c r="A207" s="290">
        <v>34</v>
      </c>
      <c r="B207" s="310" t="s">
        <v>284</v>
      </c>
      <c r="C207" s="285"/>
      <c r="D207" s="285"/>
      <c r="E207" s="285"/>
      <c r="F207" s="285"/>
      <c r="G207" s="286"/>
    </row>
    <row r="208" spans="1:7" x14ac:dyDescent="0.3">
      <c r="A208" s="290">
        <f>+A207+0.1</f>
        <v>34.1</v>
      </c>
      <c r="B208" s="309" t="s">
        <v>282</v>
      </c>
      <c r="C208" s="309"/>
      <c r="D208" s="285">
        <f>0.02*1.1</f>
        <v>2.2000000000000002E-2</v>
      </c>
      <c r="E208" s="285" t="s">
        <v>6</v>
      </c>
      <c r="F208" s="285">
        <f>+G154</f>
        <v>4218.8599999999997</v>
      </c>
      <c r="G208" s="286">
        <f>+F208*D208</f>
        <v>92.814920000000001</v>
      </c>
    </row>
    <row r="209" spans="1:7" x14ac:dyDescent="0.3">
      <c r="A209" s="290">
        <f>+A208+0.1</f>
        <v>34.200000000000003</v>
      </c>
      <c r="B209" s="309" t="s">
        <v>285</v>
      </c>
      <c r="C209" s="309"/>
      <c r="D209" s="285">
        <v>0.1</v>
      </c>
      <c r="E209" s="285" t="s">
        <v>286</v>
      </c>
      <c r="F209" s="285">
        <v>36</v>
      </c>
      <c r="G209" s="286">
        <f>+F209*D209</f>
        <v>3.6</v>
      </c>
    </row>
    <row r="210" spans="1:7" x14ac:dyDescent="0.3">
      <c r="A210" s="290">
        <f>+A209+0.1</f>
        <v>34.300000000000004</v>
      </c>
      <c r="B210" s="309" t="s">
        <v>287</v>
      </c>
      <c r="C210" s="309"/>
      <c r="D210" s="285">
        <v>1</v>
      </c>
      <c r="E210" s="285" t="s">
        <v>5</v>
      </c>
      <c r="F210" s="285">
        <v>150</v>
      </c>
      <c r="G210" s="286">
        <f>+F210*D210</f>
        <v>150</v>
      </c>
    </row>
    <row r="211" spans="1:7" x14ac:dyDescent="0.3">
      <c r="A211" s="290"/>
      <c r="B211" s="309"/>
      <c r="C211" s="309"/>
      <c r="D211" s="285"/>
      <c r="E211" s="285"/>
      <c r="F211" s="312" t="s">
        <v>146</v>
      </c>
      <c r="G211" s="313">
        <f>SUM(G208:G210)</f>
        <v>246.41492</v>
      </c>
    </row>
    <row r="212" spans="1:7" x14ac:dyDescent="0.3">
      <c r="A212" s="290">
        <v>35</v>
      </c>
      <c r="B212" s="310" t="s">
        <v>288</v>
      </c>
      <c r="C212" s="285"/>
      <c r="D212" s="285"/>
      <c r="E212" s="285"/>
      <c r="F212" s="285"/>
      <c r="G212" s="286"/>
    </row>
    <row r="213" spans="1:7" x14ac:dyDescent="0.3">
      <c r="A213" s="290">
        <f>+A212+0.1</f>
        <v>35.1</v>
      </c>
      <c r="B213" s="309" t="s">
        <v>289</v>
      </c>
      <c r="C213" s="309"/>
      <c r="D213" s="285">
        <f>0.02*0.02*1.5</f>
        <v>6.0000000000000006E-4</v>
      </c>
      <c r="E213" s="285" t="s">
        <v>6</v>
      </c>
      <c r="F213" s="285">
        <f>+G154*3</f>
        <v>12656.579999999998</v>
      </c>
      <c r="G213" s="286">
        <f>+F213*D213</f>
        <v>7.5939479999999993</v>
      </c>
    </row>
    <row r="214" spans="1:7" x14ac:dyDescent="0.3">
      <c r="A214" s="290">
        <f>+A213+0.1</f>
        <v>35.200000000000003</v>
      </c>
      <c r="B214" s="309" t="s">
        <v>285</v>
      </c>
      <c r="C214" s="309"/>
      <c r="D214" s="285">
        <v>0.1</v>
      </c>
      <c r="E214" s="285" t="s">
        <v>286</v>
      </c>
      <c r="F214" s="285">
        <v>36</v>
      </c>
      <c r="G214" s="286">
        <f>+F214*D214</f>
        <v>3.6</v>
      </c>
    </row>
    <row r="215" spans="1:7" x14ac:dyDescent="0.3">
      <c r="A215" s="290">
        <f>+A214+0.1</f>
        <v>35.300000000000004</v>
      </c>
      <c r="B215" s="309" t="s">
        <v>290</v>
      </c>
      <c r="C215" s="309"/>
      <c r="D215" s="285">
        <v>0.02</v>
      </c>
      <c r="E215" s="285" t="s">
        <v>154</v>
      </c>
      <c r="F215" s="285">
        <v>55</v>
      </c>
      <c r="G215" s="286">
        <f>+F215*D215</f>
        <v>1.1000000000000001</v>
      </c>
    </row>
    <row r="216" spans="1:7" x14ac:dyDescent="0.3">
      <c r="A216" s="290">
        <f>+A215+0.1</f>
        <v>35.400000000000006</v>
      </c>
      <c r="B216" s="309" t="s">
        <v>287</v>
      </c>
      <c r="C216" s="309"/>
      <c r="D216" s="285">
        <v>1</v>
      </c>
      <c r="E216" s="285" t="s">
        <v>159</v>
      </c>
      <c r="F216" s="285">
        <v>45</v>
      </c>
      <c r="G216" s="286">
        <f>+F216*D216</f>
        <v>45</v>
      </c>
    </row>
    <row r="217" spans="1:7" x14ac:dyDescent="0.3">
      <c r="A217" s="290"/>
      <c r="B217" s="309"/>
      <c r="C217" s="309"/>
      <c r="D217" s="285"/>
      <c r="E217" s="285"/>
      <c r="F217" s="312" t="s">
        <v>146</v>
      </c>
      <c r="G217" s="313">
        <f>SUM(G213:G216)</f>
        <v>57.293948</v>
      </c>
    </row>
    <row r="218" spans="1:7" x14ac:dyDescent="0.3">
      <c r="A218" s="290">
        <v>36</v>
      </c>
      <c r="B218" s="314" t="s">
        <v>291</v>
      </c>
      <c r="C218" s="309"/>
      <c r="D218" s="285"/>
      <c r="E218" s="285"/>
      <c r="F218" s="312"/>
      <c r="G218" s="313"/>
    </row>
    <row r="219" spans="1:7" x14ac:dyDescent="0.3">
      <c r="A219" s="290">
        <f>+A218+0.1</f>
        <v>36.1</v>
      </c>
      <c r="B219" s="309" t="s">
        <v>292</v>
      </c>
      <c r="C219" s="309"/>
      <c r="D219" s="285">
        <v>20</v>
      </c>
      <c r="E219" s="285" t="s">
        <v>168</v>
      </c>
      <c r="F219" s="285">
        <v>3</v>
      </c>
      <c r="G219" s="286">
        <f>+F219*D219</f>
        <v>60</v>
      </c>
    </row>
    <row r="220" spans="1:7" x14ac:dyDescent="0.3">
      <c r="A220" s="290">
        <f>+A219+0.1</f>
        <v>36.200000000000003</v>
      </c>
      <c r="B220" s="309" t="s">
        <v>293</v>
      </c>
      <c r="C220" s="309"/>
      <c r="D220" s="285">
        <v>1.1000000000000001</v>
      </c>
      <c r="E220" s="285" t="s">
        <v>294</v>
      </c>
      <c r="F220" s="285">
        <v>450</v>
      </c>
      <c r="G220" s="286">
        <f>+F220*D220</f>
        <v>495.00000000000006</v>
      </c>
    </row>
    <row r="221" spans="1:7" x14ac:dyDescent="0.3">
      <c r="A221" s="290">
        <f>+A220+0.1</f>
        <v>36.300000000000004</v>
      </c>
      <c r="B221" s="309" t="s">
        <v>295</v>
      </c>
      <c r="C221" s="309"/>
      <c r="D221" s="285">
        <v>1</v>
      </c>
      <c r="E221" s="285" t="s">
        <v>157</v>
      </c>
      <c r="F221" s="285">
        <v>422.5</v>
      </c>
      <c r="G221" s="286">
        <f>+F221*D221</f>
        <v>422.5</v>
      </c>
    </row>
    <row r="222" spans="1:7" x14ac:dyDescent="0.3">
      <c r="A222" s="290">
        <f>+A221+0.1</f>
        <v>36.400000000000006</v>
      </c>
      <c r="B222" s="309" t="s">
        <v>296</v>
      </c>
      <c r="C222" s="309"/>
      <c r="D222" s="285">
        <v>20</v>
      </c>
      <c r="E222" s="285" t="s">
        <v>168</v>
      </c>
      <c r="F222" s="285">
        <v>25</v>
      </c>
      <c r="G222" s="286">
        <f>+F222*D222</f>
        <v>500</v>
      </c>
    </row>
    <row r="223" spans="1:7" x14ac:dyDescent="0.3">
      <c r="A223" s="290"/>
      <c r="B223" s="291"/>
      <c r="C223" s="285"/>
      <c r="D223" s="285"/>
      <c r="E223" s="285"/>
      <c r="F223" s="312" t="s">
        <v>146</v>
      </c>
      <c r="G223" s="313">
        <f>SUM(G219:G222)/20</f>
        <v>73.875</v>
      </c>
    </row>
    <row r="224" spans="1:7" x14ac:dyDescent="0.3">
      <c r="A224" s="290">
        <v>37</v>
      </c>
      <c r="B224" s="310" t="s">
        <v>297</v>
      </c>
      <c r="C224" s="285"/>
      <c r="D224" s="285"/>
      <c r="E224" s="285"/>
      <c r="F224" s="285"/>
      <c r="G224" s="286"/>
    </row>
    <row r="225" spans="1:7" x14ac:dyDescent="0.3">
      <c r="A225" s="290">
        <f>+A224+0.1</f>
        <v>37.1</v>
      </c>
      <c r="B225" s="309" t="s">
        <v>292</v>
      </c>
      <c r="C225" s="309"/>
      <c r="D225" s="285">
        <v>20</v>
      </c>
      <c r="E225" s="285" t="s">
        <v>168</v>
      </c>
      <c r="F225" s="285">
        <v>3</v>
      </c>
      <c r="G225" s="286">
        <f>+F225*D225</f>
        <v>60</v>
      </c>
    </row>
    <row r="226" spans="1:7" x14ac:dyDescent="0.3">
      <c r="A226" s="290">
        <f>+A225+0.1</f>
        <v>37.200000000000003</v>
      </c>
      <c r="B226" s="309" t="s">
        <v>298</v>
      </c>
      <c r="C226" s="309"/>
      <c r="D226" s="285">
        <v>1.2</v>
      </c>
      <c r="E226" s="285" t="s">
        <v>294</v>
      </c>
      <c r="F226" s="285">
        <v>720</v>
      </c>
      <c r="G226" s="286">
        <f>+F226*D226</f>
        <v>864</v>
      </c>
    </row>
    <row r="227" spans="1:7" x14ac:dyDescent="0.3">
      <c r="A227" s="290">
        <f>+A226+0.1</f>
        <v>37.300000000000004</v>
      </c>
      <c r="B227" s="309" t="s">
        <v>293</v>
      </c>
      <c r="C227" s="309"/>
      <c r="D227" s="285">
        <v>1.1000000000000001</v>
      </c>
      <c r="E227" s="285" t="s">
        <v>294</v>
      </c>
      <c r="F227" s="285">
        <v>720</v>
      </c>
      <c r="G227" s="286">
        <f>+F227*D227</f>
        <v>792.00000000000011</v>
      </c>
    </row>
    <row r="228" spans="1:7" x14ac:dyDescent="0.3">
      <c r="A228" s="290">
        <f>+A227+0.1</f>
        <v>37.400000000000006</v>
      </c>
      <c r="B228" s="309" t="s">
        <v>295</v>
      </c>
      <c r="C228" s="309"/>
      <c r="D228" s="285">
        <v>1</v>
      </c>
      <c r="E228" s="285" t="s">
        <v>157</v>
      </c>
      <c r="F228" s="285">
        <v>422.5</v>
      </c>
      <c r="G228" s="286">
        <f>+F228*D228</f>
        <v>422.5</v>
      </c>
    </row>
    <row r="229" spans="1:7" x14ac:dyDescent="0.3">
      <c r="A229" s="290">
        <f>+A228+0.1</f>
        <v>37.500000000000007</v>
      </c>
      <c r="B229" s="309" t="s">
        <v>296</v>
      </c>
      <c r="C229" s="309"/>
      <c r="D229" s="285">
        <v>20</v>
      </c>
      <c r="E229" s="285" t="s">
        <v>168</v>
      </c>
      <c r="F229" s="285">
        <v>40</v>
      </c>
      <c r="G229" s="286">
        <f>+F229*D229</f>
        <v>800</v>
      </c>
    </row>
    <row r="230" spans="1:7" x14ac:dyDescent="0.3">
      <c r="A230" s="290"/>
      <c r="B230" s="291"/>
      <c r="C230" s="285"/>
      <c r="D230" s="285"/>
      <c r="E230" s="285"/>
      <c r="F230" s="312" t="s">
        <v>146</v>
      </c>
      <c r="G230" s="313">
        <f>SUM(G225:G229)/20</f>
        <v>146.92500000000001</v>
      </c>
    </row>
    <row r="231" spans="1:7" x14ac:dyDescent="0.3">
      <c r="A231" s="290">
        <v>38</v>
      </c>
      <c r="B231" s="315" t="s">
        <v>299</v>
      </c>
      <c r="C231" s="285"/>
      <c r="D231" s="285"/>
      <c r="E231" s="285"/>
      <c r="F231" s="285"/>
      <c r="G231" s="286"/>
    </row>
    <row r="232" spans="1:7" x14ac:dyDescent="0.3">
      <c r="A232" s="290">
        <f>+A231+0.1</f>
        <v>38.1</v>
      </c>
      <c r="B232" s="291" t="s">
        <v>300</v>
      </c>
      <c r="C232" s="309"/>
      <c r="D232" s="285">
        <v>800.41</v>
      </c>
      <c r="E232" s="285" t="s">
        <v>168</v>
      </c>
      <c r="F232" s="285">
        <v>10</v>
      </c>
      <c r="G232" s="286">
        <f>+F232*D232</f>
        <v>8004.0999999999995</v>
      </c>
    </row>
    <row r="233" spans="1:7" x14ac:dyDescent="0.3">
      <c r="A233" s="290">
        <f>+A232+0.1</f>
        <v>38.200000000000003</v>
      </c>
      <c r="B233" s="309" t="s">
        <v>301</v>
      </c>
      <c r="C233" s="309"/>
      <c r="D233" s="285">
        <f>+D232*0.25*0.05</f>
        <v>10.005125</v>
      </c>
      <c r="E233" s="285" t="s">
        <v>173</v>
      </c>
      <c r="F233" s="285">
        <f>+G81</f>
        <v>348.33333333333331</v>
      </c>
      <c r="G233" s="286">
        <f>+F233*D233</f>
        <v>3485.1185416666663</v>
      </c>
    </row>
    <row r="234" spans="1:7" x14ac:dyDescent="0.3">
      <c r="A234" s="290">
        <f>+A233+0.1</f>
        <v>38.300000000000004</v>
      </c>
      <c r="B234" s="309" t="s">
        <v>302</v>
      </c>
      <c r="C234" s="309"/>
      <c r="D234" s="285">
        <f>+D233*1.25</f>
        <v>12.50640625</v>
      </c>
      <c r="E234" s="285" t="s">
        <v>173</v>
      </c>
      <c r="F234" s="285">
        <f>+G71</f>
        <v>223.33333333333334</v>
      </c>
      <c r="G234" s="286">
        <f>+F234*D234</f>
        <v>2793.0973958333334</v>
      </c>
    </row>
    <row r="235" spans="1:7" x14ac:dyDescent="0.3">
      <c r="A235" s="290"/>
      <c r="B235" s="309"/>
      <c r="C235" s="309"/>
      <c r="D235" s="285"/>
      <c r="E235" s="285"/>
      <c r="F235" s="312" t="s">
        <v>146</v>
      </c>
      <c r="G235" s="313">
        <f>SUM(G232:G234)/D232</f>
        <v>17.84375</v>
      </c>
    </row>
    <row r="236" spans="1:7" x14ac:dyDescent="0.3">
      <c r="A236" s="290">
        <v>39</v>
      </c>
      <c r="B236" s="316" t="s">
        <v>303</v>
      </c>
      <c r="C236" s="285"/>
      <c r="D236" s="285"/>
      <c r="E236" s="285"/>
      <c r="F236" s="317"/>
      <c r="G236" s="318"/>
    </row>
    <row r="237" spans="1:7" x14ac:dyDescent="0.3">
      <c r="A237" s="290">
        <f>+A236+0.1</f>
        <v>39.1</v>
      </c>
      <c r="B237" s="291" t="s">
        <v>304</v>
      </c>
      <c r="C237" s="309"/>
      <c r="D237" s="285">
        <v>6</v>
      </c>
      <c r="E237" s="285" t="s">
        <v>173</v>
      </c>
      <c r="F237" s="285">
        <v>450</v>
      </c>
      <c r="G237" s="286">
        <f>+F237*D237</f>
        <v>2700</v>
      </c>
    </row>
    <row r="238" spans="1:7" x14ac:dyDescent="0.3">
      <c r="A238" s="290">
        <f>+A237+0.1</f>
        <v>39.200000000000003</v>
      </c>
      <c r="B238" s="309" t="s">
        <v>302</v>
      </c>
      <c r="C238" s="309"/>
      <c r="D238" s="285">
        <v>6</v>
      </c>
      <c r="E238" s="285" t="s">
        <v>173</v>
      </c>
      <c r="F238" s="285">
        <v>327</v>
      </c>
      <c r="G238" s="286">
        <f>+F238*D238</f>
        <v>1962</v>
      </c>
    </row>
    <row r="239" spans="1:7" x14ac:dyDescent="0.3">
      <c r="A239" s="290">
        <f>+A238+0.1</f>
        <v>39.300000000000004</v>
      </c>
      <c r="B239" s="309" t="s">
        <v>305</v>
      </c>
      <c r="C239" s="309"/>
      <c r="D239" s="285">
        <f>+D237/0.08</f>
        <v>75</v>
      </c>
      <c r="E239" s="285" t="s">
        <v>168</v>
      </c>
      <c r="F239" s="285">
        <v>14</v>
      </c>
      <c r="G239" s="286">
        <f>+F239*D239</f>
        <v>1050</v>
      </c>
    </row>
    <row r="240" spans="1:7" x14ac:dyDescent="0.3">
      <c r="A240" s="290"/>
      <c r="B240" s="309"/>
      <c r="C240" s="309"/>
      <c r="D240" s="285"/>
      <c r="E240" s="285"/>
      <c r="F240" s="312" t="s">
        <v>146</v>
      </c>
      <c r="G240" s="313">
        <f>SUM(G237:G239)/D237</f>
        <v>952</v>
      </c>
    </row>
    <row r="241" spans="1:7" x14ac:dyDescent="0.3">
      <c r="A241" s="290">
        <v>40</v>
      </c>
      <c r="B241" s="319" t="s">
        <v>306</v>
      </c>
      <c r="C241" s="285"/>
      <c r="D241" s="285"/>
      <c r="E241" s="285"/>
      <c r="F241" s="285"/>
      <c r="G241" s="286"/>
    </row>
    <row r="242" spans="1:7" x14ac:dyDescent="0.3">
      <c r="A242" s="290">
        <f>+A241+0.1</f>
        <v>40.1</v>
      </c>
      <c r="B242" s="291" t="s">
        <v>129</v>
      </c>
      <c r="C242" s="309"/>
      <c r="D242" s="285">
        <v>1</v>
      </c>
      <c r="E242" s="285" t="s">
        <v>130</v>
      </c>
      <c r="F242" s="285">
        <v>75.58</v>
      </c>
      <c r="G242" s="286">
        <f>+F242*D242</f>
        <v>75.58</v>
      </c>
    </row>
    <row r="243" spans="1:7" x14ac:dyDescent="0.3">
      <c r="A243" s="290">
        <f>+A242+0.1</f>
        <v>40.200000000000003</v>
      </c>
      <c r="B243" s="309" t="s">
        <v>131</v>
      </c>
      <c r="C243" s="309"/>
      <c r="D243" s="285">
        <v>1</v>
      </c>
      <c r="E243" s="285" t="s">
        <v>130</v>
      </c>
      <c r="F243" s="285">
        <v>20</v>
      </c>
      <c r="G243" s="286">
        <f>+F243*D243</f>
        <v>20</v>
      </c>
    </row>
    <row r="244" spans="1:7" x14ac:dyDescent="0.3">
      <c r="A244" s="290"/>
      <c r="B244" s="309"/>
      <c r="C244" s="309"/>
      <c r="D244" s="285"/>
      <c r="E244" s="285"/>
      <c r="F244" s="312" t="s">
        <v>307</v>
      </c>
      <c r="G244" s="313">
        <f>SUM(G242:G243)</f>
        <v>95.58</v>
      </c>
    </row>
    <row r="245" spans="1:7" x14ac:dyDescent="0.3">
      <c r="A245" s="290">
        <v>41</v>
      </c>
      <c r="B245" s="319" t="s">
        <v>308</v>
      </c>
      <c r="C245" s="285"/>
      <c r="D245" s="285"/>
      <c r="E245" s="285"/>
      <c r="F245" s="285"/>
      <c r="G245" s="286"/>
    </row>
    <row r="246" spans="1:7" x14ac:dyDescent="0.3">
      <c r="A246" s="290">
        <v>41.1</v>
      </c>
      <c r="B246" s="291" t="s">
        <v>309</v>
      </c>
      <c r="C246" s="309"/>
      <c r="D246" s="285">
        <v>1</v>
      </c>
      <c r="E246" s="285" t="s">
        <v>130</v>
      </c>
      <c r="F246" s="285">
        <v>1200</v>
      </c>
      <c r="G246" s="286">
        <f>+F246*D246</f>
        <v>1200</v>
      </c>
    </row>
    <row r="247" spans="1:7" x14ac:dyDescent="0.3">
      <c r="A247" s="290">
        <v>41.2</v>
      </c>
      <c r="B247" s="309" t="s">
        <v>310</v>
      </c>
      <c r="C247" s="309"/>
      <c r="D247" s="285">
        <v>1</v>
      </c>
      <c r="E247" s="285" t="s">
        <v>130</v>
      </c>
      <c r="F247" s="285">
        <v>300</v>
      </c>
      <c r="G247" s="286">
        <f>+F247*D247</f>
        <v>300</v>
      </c>
    </row>
    <row r="248" spans="1:7" x14ac:dyDescent="0.3">
      <c r="A248" s="290"/>
      <c r="B248" s="309"/>
      <c r="C248" s="309"/>
      <c r="D248" s="285"/>
      <c r="E248" s="285"/>
      <c r="F248" s="312" t="s">
        <v>307</v>
      </c>
      <c r="G248" s="313">
        <f>SUM(G246:G247)</f>
        <v>1500</v>
      </c>
    </row>
    <row r="249" spans="1:7" x14ac:dyDescent="0.3">
      <c r="A249" s="290">
        <v>43</v>
      </c>
      <c r="B249" s="319" t="s">
        <v>311</v>
      </c>
      <c r="C249" s="285"/>
      <c r="D249" s="285"/>
      <c r="E249" s="285"/>
      <c r="F249" s="285"/>
      <c r="G249" s="286"/>
    </row>
    <row r="250" spans="1:7" x14ac:dyDescent="0.3">
      <c r="A250" s="290">
        <v>43.1</v>
      </c>
      <c r="B250" s="291" t="s">
        <v>312</v>
      </c>
      <c r="C250" s="309"/>
      <c r="D250" s="285">
        <v>1</v>
      </c>
      <c r="E250" s="285" t="s">
        <v>130</v>
      </c>
      <c r="F250" s="285">
        <v>1100</v>
      </c>
      <c r="G250" s="286">
        <f>+F250*D250</f>
        <v>1100</v>
      </c>
    </row>
    <row r="251" spans="1:7" x14ac:dyDescent="0.3">
      <c r="A251" s="290">
        <v>43.2</v>
      </c>
      <c r="B251" s="309" t="s">
        <v>313</v>
      </c>
      <c r="C251" s="309"/>
      <c r="D251" s="285">
        <v>1</v>
      </c>
      <c r="E251" s="285" t="s">
        <v>130</v>
      </c>
      <c r="F251" s="285">
        <v>300</v>
      </c>
      <c r="G251" s="286">
        <f>+F251*D251</f>
        <v>300</v>
      </c>
    </row>
    <row r="252" spans="1:7" x14ac:dyDescent="0.3">
      <c r="A252" s="290"/>
      <c r="B252" s="309"/>
      <c r="C252" s="309"/>
      <c r="D252" s="285"/>
      <c r="E252" s="285"/>
      <c r="F252" s="312" t="s">
        <v>307</v>
      </c>
      <c r="G252" s="313">
        <f>SUM(G250:G251)</f>
        <v>1400</v>
      </c>
    </row>
    <row r="253" spans="1:7" x14ac:dyDescent="0.3">
      <c r="A253" s="290">
        <v>44</v>
      </c>
      <c r="B253" s="319" t="s">
        <v>314</v>
      </c>
      <c r="C253" s="285"/>
      <c r="D253" s="285"/>
      <c r="E253" s="285"/>
      <c r="F253" s="285"/>
      <c r="G253" s="286"/>
    </row>
    <row r="254" spans="1:7" x14ac:dyDescent="0.3">
      <c r="A254" s="290">
        <v>44.1</v>
      </c>
      <c r="B254" s="291" t="s">
        <v>315</v>
      </c>
      <c r="C254" s="309"/>
      <c r="D254" s="285">
        <v>1</v>
      </c>
      <c r="E254" s="285" t="s">
        <v>130</v>
      </c>
      <c r="F254" s="285">
        <v>1000</v>
      </c>
      <c r="G254" s="286">
        <f>+F254*D254</f>
        <v>1000</v>
      </c>
    </row>
    <row r="255" spans="1:7" x14ac:dyDescent="0.3">
      <c r="A255" s="290">
        <v>44.2</v>
      </c>
      <c r="B255" s="309" t="s">
        <v>316</v>
      </c>
      <c r="C255" s="309"/>
      <c r="D255" s="285">
        <v>1</v>
      </c>
      <c r="E255" s="285" t="s">
        <v>130</v>
      </c>
      <c r="F255" s="285">
        <v>300</v>
      </c>
      <c r="G255" s="286">
        <f>+F255*D255</f>
        <v>300</v>
      </c>
    </row>
    <row r="256" spans="1:7" x14ac:dyDescent="0.3">
      <c r="A256" s="290"/>
      <c r="B256" s="309"/>
      <c r="C256" s="309"/>
      <c r="D256" s="285"/>
      <c r="E256" s="285"/>
      <c r="F256" s="312" t="s">
        <v>307</v>
      </c>
      <c r="G256" s="313">
        <f>SUM(G254:G255)</f>
        <v>1300</v>
      </c>
    </row>
    <row r="257" spans="1:7" x14ac:dyDescent="0.3">
      <c r="A257" s="290">
        <v>45</v>
      </c>
      <c r="B257" s="319" t="s">
        <v>625</v>
      </c>
      <c r="C257" s="285"/>
      <c r="D257" s="285"/>
      <c r="E257" s="285"/>
      <c r="F257" s="285"/>
      <c r="G257" s="286"/>
    </row>
    <row r="258" spans="1:7" x14ac:dyDescent="0.3">
      <c r="A258" s="290">
        <v>45.1</v>
      </c>
      <c r="B258" s="291" t="s">
        <v>626</v>
      </c>
      <c r="C258" s="309"/>
      <c r="D258" s="285">
        <v>1</v>
      </c>
      <c r="E258" s="285" t="s">
        <v>130</v>
      </c>
      <c r="F258" s="285">
        <v>95</v>
      </c>
      <c r="G258" s="286">
        <f>+F258*D258</f>
        <v>95</v>
      </c>
    </row>
    <row r="259" spans="1:7" x14ac:dyDescent="0.3">
      <c r="A259" s="290">
        <v>45.2</v>
      </c>
      <c r="B259" s="309" t="s">
        <v>627</v>
      </c>
      <c r="C259" s="309"/>
      <c r="D259" s="285">
        <v>1</v>
      </c>
      <c r="E259" s="285" t="s">
        <v>130</v>
      </c>
      <c r="F259" s="285">
        <v>15</v>
      </c>
      <c r="G259" s="286">
        <f>+F259*D259</f>
        <v>15</v>
      </c>
    </row>
    <row r="260" spans="1:7" x14ac:dyDescent="0.3">
      <c r="A260" s="290"/>
      <c r="B260" s="309"/>
      <c r="C260" s="309"/>
      <c r="D260" s="285"/>
      <c r="E260" s="285"/>
      <c r="F260" s="312" t="s">
        <v>307</v>
      </c>
      <c r="G260" s="313">
        <f>SUM(G258:G259)</f>
        <v>110</v>
      </c>
    </row>
    <row r="261" spans="1:7" x14ac:dyDescent="0.3">
      <c r="A261" s="290">
        <v>45</v>
      </c>
      <c r="B261" s="319" t="s">
        <v>317</v>
      </c>
      <c r="C261" s="285"/>
      <c r="D261" s="285"/>
      <c r="E261" s="285"/>
      <c r="F261" s="285"/>
      <c r="G261" s="286"/>
    </row>
    <row r="262" spans="1:7" x14ac:dyDescent="0.3">
      <c r="A262" s="290">
        <v>45.1</v>
      </c>
      <c r="B262" s="291" t="s">
        <v>318</v>
      </c>
      <c r="C262" s="309"/>
      <c r="D262" s="285">
        <v>1</v>
      </c>
      <c r="E262" s="285" t="s">
        <v>130</v>
      </c>
      <c r="F262" s="285">
        <v>20</v>
      </c>
      <c r="G262" s="286">
        <f>+F262*D262</f>
        <v>20</v>
      </c>
    </row>
    <row r="263" spans="1:7" x14ac:dyDescent="0.3">
      <c r="A263" s="290">
        <v>45.2</v>
      </c>
      <c r="B263" s="309" t="s">
        <v>319</v>
      </c>
      <c r="C263" s="309"/>
      <c r="D263" s="285">
        <v>1</v>
      </c>
      <c r="E263" s="285" t="s">
        <v>130</v>
      </c>
      <c r="F263" s="285">
        <v>12.5</v>
      </c>
      <c r="G263" s="286">
        <f>+F263*D263</f>
        <v>12.5</v>
      </c>
    </row>
    <row r="264" spans="1:7" x14ac:dyDescent="0.3">
      <c r="A264" s="290"/>
      <c r="B264" s="309"/>
      <c r="C264" s="309"/>
      <c r="D264" s="285"/>
      <c r="E264" s="285"/>
      <c r="F264" s="312" t="s">
        <v>307</v>
      </c>
      <c r="G264" s="313">
        <f>SUM(G262:G263)</f>
        <v>32.5</v>
      </c>
    </row>
    <row r="265" spans="1:7" x14ac:dyDescent="0.3">
      <c r="A265" s="290">
        <v>46</v>
      </c>
      <c r="B265" s="316" t="s">
        <v>320</v>
      </c>
      <c r="C265" s="285"/>
      <c r="D265" s="285"/>
      <c r="E265" s="285"/>
      <c r="F265" s="285"/>
      <c r="G265" s="286"/>
    </row>
    <row r="266" spans="1:7" x14ac:dyDescent="0.3">
      <c r="A266" s="290">
        <v>46.1</v>
      </c>
      <c r="B266" s="291" t="s">
        <v>321</v>
      </c>
      <c r="C266" s="309"/>
      <c r="D266" s="285">
        <v>1</v>
      </c>
      <c r="E266" s="285" t="s">
        <v>157</v>
      </c>
      <c r="F266" s="285">
        <v>2000</v>
      </c>
      <c r="G266" s="286">
        <f>+F266*D266</f>
        <v>2000</v>
      </c>
    </row>
    <row r="267" spans="1:7" x14ac:dyDescent="0.3">
      <c r="A267" s="290">
        <v>46.2</v>
      </c>
      <c r="B267" s="309" t="s">
        <v>322</v>
      </c>
      <c r="C267" s="309"/>
      <c r="D267" s="285">
        <v>30</v>
      </c>
      <c r="E267" s="285" t="s">
        <v>130</v>
      </c>
      <c r="F267" s="285">
        <v>40</v>
      </c>
      <c r="G267" s="286">
        <f>+F267*D267</f>
        <v>1200</v>
      </c>
    </row>
    <row r="268" spans="1:7" x14ac:dyDescent="0.3">
      <c r="A268" s="290">
        <v>46.3</v>
      </c>
      <c r="B268" s="309" t="s">
        <v>323</v>
      </c>
      <c r="C268" s="309"/>
      <c r="D268" s="285">
        <v>0.02</v>
      </c>
      <c r="E268" s="285" t="s">
        <v>157</v>
      </c>
      <c r="F268" s="285">
        <f>SUM(G266:G267)</f>
        <v>3200</v>
      </c>
      <c r="G268" s="286">
        <f>+F268*D268</f>
        <v>64</v>
      </c>
    </row>
    <row r="269" spans="1:7" x14ac:dyDescent="0.3">
      <c r="A269" s="290">
        <v>46.4</v>
      </c>
      <c r="B269" s="291" t="s">
        <v>324</v>
      </c>
      <c r="C269" s="285"/>
      <c r="D269" s="285">
        <v>2</v>
      </c>
      <c r="E269" s="285" t="s">
        <v>325</v>
      </c>
      <c r="F269" s="285">
        <v>6500</v>
      </c>
      <c r="G269" s="286">
        <f>+F269*D269</f>
        <v>13000</v>
      </c>
    </row>
    <row r="270" spans="1:7" x14ac:dyDescent="0.3">
      <c r="A270" s="290"/>
      <c r="B270" s="291"/>
      <c r="C270" s="285"/>
      <c r="D270" s="285"/>
      <c r="E270" s="285"/>
      <c r="F270" s="312" t="s">
        <v>307</v>
      </c>
      <c r="G270" s="313">
        <f>SUM(G266:G269)/2</f>
        <v>8132</v>
      </c>
    </row>
    <row r="271" spans="1:7" x14ac:dyDescent="0.3">
      <c r="A271" s="290">
        <v>47</v>
      </c>
      <c r="B271" s="315" t="s">
        <v>326</v>
      </c>
      <c r="C271" s="285"/>
      <c r="D271" s="285"/>
      <c r="E271" s="285"/>
      <c r="F271" s="285"/>
      <c r="G271" s="286"/>
    </row>
    <row r="272" spans="1:7" x14ac:dyDescent="0.3">
      <c r="A272" s="290">
        <v>47.1</v>
      </c>
      <c r="B272" s="291" t="s">
        <v>327</v>
      </c>
      <c r="C272" s="309"/>
      <c r="D272" s="285">
        <v>6</v>
      </c>
      <c r="E272" s="285" t="s">
        <v>173</v>
      </c>
      <c r="F272" s="285">
        <v>800</v>
      </c>
      <c r="G272" s="286">
        <f>+F272*D272</f>
        <v>4800</v>
      </c>
    </row>
    <row r="273" spans="1:7" x14ac:dyDescent="0.3">
      <c r="A273" s="290">
        <v>47.2</v>
      </c>
      <c r="B273" s="309" t="s">
        <v>328</v>
      </c>
      <c r="C273" s="309"/>
      <c r="D273" s="285">
        <f>+D272/0.08</f>
        <v>75</v>
      </c>
      <c r="E273" s="285" t="s">
        <v>168</v>
      </c>
      <c r="F273" s="285">
        <v>14</v>
      </c>
      <c r="G273" s="286">
        <f>+F273*D273</f>
        <v>1050</v>
      </c>
    </row>
    <row r="274" spans="1:7" x14ac:dyDescent="0.3">
      <c r="A274" s="290">
        <v>47.3</v>
      </c>
      <c r="B274" s="309" t="s">
        <v>329</v>
      </c>
      <c r="C274" s="309"/>
      <c r="D274" s="285">
        <v>0.02</v>
      </c>
      <c r="E274" s="285" t="s">
        <v>157</v>
      </c>
      <c r="F274" s="285">
        <f>SUM(G272:G273)</f>
        <v>5850</v>
      </c>
      <c r="G274" s="286">
        <f>+F274*D274</f>
        <v>117</v>
      </c>
    </row>
    <row r="275" spans="1:7" x14ac:dyDescent="0.3">
      <c r="A275" s="290"/>
      <c r="B275" s="291"/>
      <c r="C275" s="285"/>
      <c r="D275" s="285"/>
      <c r="E275" s="285"/>
      <c r="F275" s="312" t="s">
        <v>330</v>
      </c>
      <c r="G275" s="313">
        <f>SUM(G272:G274)/D272</f>
        <v>994.5</v>
      </c>
    </row>
    <row r="276" spans="1:7" ht="78" customHeight="1" x14ac:dyDescent="0.3">
      <c r="A276" s="290">
        <v>48</v>
      </c>
      <c r="B276" s="315" t="s">
        <v>331</v>
      </c>
      <c r="C276" s="285"/>
      <c r="D276" s="285"/>
      <c r="E276" s="285"/>
      <c r="F276" s="285"/>
      <c r="G276" s="286"/>
    </row>
    <row r="277" spans="1:7" x14ac:dyDescent="0.3">
      <c r="A277" s="290">
        <f>+A276+0.1</f>
        <v>48.1</v>
      </c>
      <c r="B277" s="320" t="s">
        <v>332</v>
      </c>
      <c r="C277" s="285"/>
      <c r="D277" s="321">
        <v>3</v>
      </c>
      <c r="E277" s="321" t="s">
        <v>130</v>
      </c>
      <c r="F277" s="321">
        <v>1600</v>
      </c>
      <c r="G277" s="322">
        <f>+F277*D277</f>
        <v>4800</v>
      </c>
    </row>
    <row r="278" spans="1:7" x14ac:dyDescent="0.3">
      <c r="A278" s="290">
        <f t="shared" ref="A278:A286" si="12">+A277+0.1</f>
        <v>48.2</v>
      </c>
      <c r="B278" s="320" t="s">
        <v>333</v>
      </c>
      <c r="C278" s="285"/>
      <c r="D278" s="321">
        <v>6</v>
      </c>
      <c r="E278" s="321" t="s">
        <v>191</v>
      </c>
      <c r="F278" s="321">
        <v>250</v>
      </c>
      <c r="G278" s="322">
        <f>+F278*D278</f>
        <v>1500</v>
      </c>
    </row>
    <row r="279" spans="1:7" x14ac:dyDescent="0.3">
      <c r="A279" s="290">
        <f t="shared" si="12"/>
        <v>48.300000000000004</v>
      </c>
      <c r="B279" s="320" t="s">
        <v>334</v>
      </c>
      <c r="C279" s="285"/>
      <c r="D279" s="321">
        <v>1</v>
      </c>
      <c r="E279" s="321" t="s">
        <v>152</v>
      </c>
      <c r="F279" s="321">
        <v>60</v>
      </c>
      <c r="G279" s="322">
        <f>+F279*D279</f>
        <v>60</v>
      </c>
    </row>
    <row r="280" spans="1:7" x14ac:dyDescent="0.3">
      <c r="A280" s="290">
        <f t="shared" si="12"/>
        <v>48.400000000000006</v>
      </c>
      <c r="B280" s="320" t="s">
        <v>335</v>
      </c>
      <c r="C280" s="285"/>
      <c r="D280" s="321">
        <v>2.2599999999999998</v>
      </c>
      <c r="E280" s="321" t="s">
        <v>159</v>
      </c>
      <c r="F280" s="321">
        <v>83.333333333333329</v>
      </c>
      <c r="G280" s="322">
        <f>+F280*D280</f>
        <v>188.33333333333331</v>
      </c>
    </row>
    <row r="281" spans="1:7" x14ac:dyDescent="0.3">
      <c r="A281" s="290">
        <f t="shared" si="12"/>
        <v>48.500000000000007</v>
      </c>
      <c r="B281" s="320" t="s">
        <v>336</v>
      </c>
      <c r="C281" s="285"/>
      <c r="D281" s="321">
        <v>10</v>
      </c>
      <c r="E281" s="321" t="s">
        <v>159</v>
      </c>
      <c r="F281" s="321">
        <v>72.5</v>
      </c>
      <c r="G281" s="322">
        <f t="shared" ref="G281:G286" si="13">+F281*D281</f>
        <v>725</v>
      </c>
    </row>
    <row r="282" spans="1:7" x14ac:dyDescent="0.3">
      <c r="A282" s="290">
        <f t="shared" si="12"/>
        <v>48.600000000000009</v>
      </c>
      <c r="B282" s="320" t="s">
        <v>337</v>
      </c>
      <c r="C282" s="285"/>
      <c r="D282" s="321">
        <v>0.2</v>
      </c>
      <c r="E282" s="321" t="s">
        <v>225</v>
      </c>
      <c r="F282" s="321">
        <f>140*1.18*4</f>
        <v>660.8</v>
      </c>
      <c r="G282" s="322">
        <f t="shared" si="13"/>
        <v>132.16</v>
      </c>
    </row>
    <row r="283" spans="1:7" x14ac:dyDescent="0.3">
      <c r="A283" s="290">
        <f t="shared" si="12"/>
        <v>48.70000000000001</v>
      </c>
      <c r="B283" s="320" t="s">
        <v>338</v>
      </c>
      <c r="C283" s="285"/>
      <c r="D283" s="321">
        <v>0.25</v>
      </c>
      <c r="E283" s="321" t="s">
        <v>225</v>
      </c>
      <c r="F283" s="321">
        <v>700</v>
      </c>
      <c r="G283" s="322">
        <f>+F283*D283</f>
        <v>175</v>
      </c>
    </row>
    <row r="284" spans="1:7" x14ac:dyDescent="0.3">
      <c r="A284" s="290">
        <f t="shared" si="12"/>
        <v>48.800000000000011</v>
      </c>
      <c r="B284" s="320" t="s">
        <v>339</v>
      </c>
      <c r="C284" s="285"/>
      <c r="D284" s="321">
        <v>2</v>
      </c>
      <c r="E284" s="321" t="s">
        <v>130</v>
      </c>
      <c r="F284" s="321">
        <v>175</v>
      </c>
      <c r="G284" s="322">
        <f t="shared" si="13"/>
        <v>350</v>
      </c>
    </row>
    <row r="285" spans="1:7" x14ac:dyDescent="0.3">
      <c r="A285" s="290">
        <f t="shared" si="12"/>
        <v>48.900000000000013</v>
      </c>
      <c r="B285" s="320" t="s">
        <v>340</v>
      </c>
      <c r="C285" s="285"/>
      <c r="D285" s="321">
        <v>0.4</v>
      </c>
      <c r="E285" s="321" t="s">
        <v>225</v>
      </c>
      <c r="F285" s="321">
        <v>420</v>
      </c>
      <c r="G285" s="322">
        <f t="shared" si="13"/>
        <v>168</v>
      </c>
    </row>
    <row r="286" spans="1:7" x14ac:dyDescent="0.3">
      <c r="A286" s="290">
        <f t="shared" si="12"/>
        <v>49.000000000000014</v>
      </c>
      <c r="B286" s="320" t="s">
        <v>341</v>
      </c>
      <c r="C286" s="285"/>
      <c r="D286" s="321">
        <v>2</v>
      </c>
      <c r="E286" s="321" t="s">
        <v>159</v>
      </c>
      <c r="F286" s="321">
        <v>1700</v>
      </c>
      <c r="G286" s="322">
        <f t="shared" si="13"/>
        <v>3400</v>
      </c>
    </row>
    <row r="287" spans="1:7" x14ac:dyDescent="0.3">
      <c r="A287" s="290"/>
      <c r="B287" s="320"/>
      <c r="C287" s="285"/>
      <c r="D287" s="321"/>
      <c r="E287" s="321"/>
      <c r="F287" s="323" t="s">
        <v>342</v>
      </c>
      <c r="G287" s="324">
        <f>SUM(G277:G286)/2</f>
        <v>5749.246666666666</v>
      </c>
    </row>
    <row r="288" spans="1:7" x14ac:dyDescent="0.3">
      <c r="A288" s="290"/>
      <c r="B288" s="325" t="s">
        <v>343</v>
      </c>
      <c r="C288" s="285"/>
      <c r="D288" s="285"/>
      <c r="E288" s="285"/>
      <c r="F288" s="285"/>
      <c r="G288" s="286"/>
    </row>
    <row r="289" spans="1:7" ht="31.2" x14ac:dyDescent="0.3">
      <c r="A289" s="290">
        <v>50</v>
      </c>
      <c r="B289" s="326" t="s">
        <v>344</v>
      </c>
      <c r="C289" s="285"/>
      <c r="D289" s="285"/>
      <c r="E289" s="285"/>
      <c r="F289" s="285"/>
      <c r="G289" s="286"/>
    </row>
    <row r="290" spans="1:7" x14ac:dyDescent="0.3">
      <c r="A290" s="290">
        <f>+A289+0.1</f>
        <v>50.1</v>
      </c>
      <c r="B290" s="309" t="s">
        <v>248</v>
      </c>
      <c r="C290" s="301"/>
      <c r="D290" s="301">
        <v>76</v>
      </c>
      <c r="E290" s="301" t="s">
        <v>168</v>
      </c>
      <c r="F290" s="301">
        <v>10</v>
      </c>
      <c r="G290" s="302">
        <f t="shared" ref="G290:G296" si="14">D290*F290</f>
        <v>760</v>
      </c>
    </row>
    <row r="291" spans="1:7" x14ac:dyDescent="0.3">
      <c r="A291" s="290">
        <f t="shared" ref="A291:A298" si="15">+A290+0.1</f>
        <v>50.2</v>
      </c>
      <c r="B291" s="309" t="s">
        <v>345</v>
      </c>
      <c r="C291" s="301"/>
      <c r="D291" s="301">
        <v>10</v>
      </c>
      <c r="E291" s="301" t="s">
        <v>346</v>
      </c>
      <c r="F291" s="301">
        <v>36</v>
      </c>
      <c r="G291" s="302">
        <f t="shared" si="14"/>
        <v>360</v>
      </c>
    </row>
    <row r="292" spans="1:7" x14ac:dyDescent="0.3">
      <c r="A292" s="290">
        <f t="shared" si="15"/>
        <v>50.300000000000004</v>
      </c>
      <c r="B292" s="309" t="s">
        <v>347</v>
      </c>
      <c r="C292" s="301"/>
      <c r="D292" s="301">
        <v>3</v>
      </c>
      <c r="E292" s="301" t="s">
        <v>154</v>
      </c>
      <c r="F292" s="301">
        <v>45</v>
      </c>
      <c r="G292" s="302">
        <f t="shared" si="14"/>
        <v>135</v>
      </c>
    </row>
    <row r="293" spans="1:7" x14ac:dyDescent="0.3">
      <c r="A293" s="290">
        <f t="shared" si="15"/>
        <v>50.400000000000006</v>
      </c>
      <c r="B293" s="309" t="s">
        <v>348</v>
      </c>
      <c r="C293" s="301"/>
      <c r="D293" s="301">
        <f>+D290*0.12</f>
        <v>9.1199999999999992</v>
      </c>
      <c r="E293" s="301" t="s">
        <v>173</v>
      </c>
      <c r="F293" s="301">
        <f>+G136</f>
        <v>3879.5766000000003</v>
      </c>
      <c r="G293" s="302">
        <f t="shared" si="14"/>
        <v>35381.738592000002</v>
      </c>
    </row>
    <row r="294" spans="1:7" x14ac:dyDescent="0.3">
      <c r="A294" s="290">
        <f t="shared" si="15"/>
        <v>50.500000000000007</v>
      </c>
      <c r="B294" s="309" t="s">
        <v>250</v>
      </c>
      <c r="C294" s="301"/>
      <c r="D294" s="301">
        <f>+D290</f>
        <v>76</v>
      </c>
      <c r="E294" s="301" t="s">
        <v>168</v>
      </c>
      <c r="F294" s="301">
        <v>180</v>
      </c>
      <c r="G294" s="302">
        <f t="shared" si="14"/>
        <v>13680</v>
      </c>
    </row>
    <row r="295" spans="1:7" x14ac:dyDescent="0.3">
      <c r="A295" s="290">
        <f t="shared" si="15"/>
        <v>50.600000000000009</v>
      </c>
      <c r="B295" s="320" t="s">
        <v>349</v>
      </c>
      <c r="C295" s="301"/>
      <c r="D295" s="301">
        <v>76</v>
      </c>
      <c r="E295" s="301" t="s">
        <v>168</v>
      </c>
      <c r="F295" s="301">
        <v>90</v>
      </c>
      <c r="G295" s="302">
        <f t="shared" si="14"/>
        <v>6840</v>
      </c>
    </row>
    <row r="296" spans="1:7" x14ac:dyDescent="0.3">
      <c r="A296" s="290">
        <f t="shared" si="15"/>
        <v>50.70000000000001</v>
      </c>
      <c r="B296" s="309" t="s">
        <v>251</v>
      </c>
      <c r="C296" s="301"/>
      <c r="D296" s="301">
        <v>5</v>
      </c>
      <c r="E296" s="301" t="s">
        <v>252</v>
      </c>
      <c r="F296" s="285">
        <f>+G107</f>
        <v>244.42</v>
      </c>
      <c r="G296" s="302">
        <f t="shared" si="14"/>
        <v>1222.0999999999999</v>
      </c>
    </row>
    <row r="297" spans="1:7" x14ac:dyDescent="0.3">
      <c r="A297" s="290">
        <f t="shared" si="15"/>
        <v>50.800000000000011</v>
      </c>
      <c r="B297" s="309" t="s">
        <v>350</v>
      </c>
      <c r="C297" s="285"/>
      <c r="D297" s="285">
        <v>60</v>
      </c>
      <c r="E297" s="285" t="s">
        <v>159</v>
      </c>
      <c r="F297" s="285">
        <v>10</v>
      </c>
      <c r="G297" s="286">
        <f>+F297*D297</f>
        <v>600</v>
      </c>
    </row>
    <row r="298" spans="1:7" x14ac:dyDescent="0.3">
      <c r="A298" s="290">
        <f t="shared" si="15"/>
        <v>50.900000000000013</v>
      </c>
      <c r="B298" s="309" t="s">
        <v>255</v>
      </c>
      <c r="C298" s="285"/>
      <c r="D298" s="285">
        <v>0.05</v>
      </c>
      <c r="E298" s="285" t="s">
        <v>157</v>
      </c>
      <c r="F298" s="285">
        <f>SUM(G290:G297)</f>
        <v>58978.838592</v>
      </c>
      <c r="G298" s="286">
        <f>+F298*D298</f>
        <v>2948.9419296000001</v>
      </c>
    </row>
    <row r="299" spans="1:7" x14ac:dyDescent="0.3">
      <c r="A299" s="290"/>
      <c r="B299" s="291"/>
      <c r="C299" s="285"/>
      <c r="D299" s="285"/>
      <c r="E299" s="285"/>
      <c r="F299" s="295" t="s">
        <v>174</v>
      </c>
      <c r="G299" s="296">
        <f>SUM(G290:G298)/D290</f>
        <v>814.83921738947367</v>
      </c>
    </row>
    <row r="300" spans="1:7" ht="31.2" x14ac:dyDescent="0.3">
      <c r="A300" s="290"/>
      <c r="B300" s="325" t="s">
        <v>351</v>
      </c>
      <c r="C300" s="285"/>
      <c r="D300" s="285"/>
      <c r="E300" s="285"/>
      <c r="F300" s="285"/>
      <c r="G300" s="286"/>
    </row>
    <row r="301" spans="1:7" ht="31.2" x14ac:dyDescent="0.3">
      <c r="A301" s="290">
        <v>51</v>
      </c>
      <c r="B301" s="314" t="s">
        <v>352</v>
      </c>
      <c r="C301" s="285"/>
      <c r="D301" s="285"/>
      <c r="E301" s="285"/>
      <c r="F301" s="285"/>
      <c r="G301" s="286"/>
    </row>
    <row r="302" spans="1:7" x14ac:dyDescent="0.3">
      <c r="A302" s="290">
        <f t="shared" ref="A302:A307" si="16">+A301+0.1</f>
        <v>51.1</v>
      </c>
      <c r="B302" s="309" t="s">
        <v>265</v>
      </c>
      <c r="C302" s="311"/>
      <c r="D302" s="285">
        <f>+( 1.3-0.14+0.3)*18*0.014</f>
        <v>0.36792000000000008</v>
      </c>
      <c r="E302" s="285" t="s">
        <v>17</v>
      </c>
      <c r="F302" s="285">
        <f>+G140</f>
        <v>1800</v>
      </c>
      <c r="G302" s="286">
        <f t="shared" ref="G302:G307" si="17">+F302*D302</f>
        <v>662.2560000000002</v>
      </c>
    </row>
    <row r="303" spans="1:7" x14ac:dyDescent="0.3">
      <c r="A303" s="290">
        <f t="shared" si="16"/>
        <v>51.2</v>
      </c>
      <c r="B303" s="309" t="s">
        <v>93</v>
      </c>
      <c r="C303" s="311"/>
      <c r="D303" s="285">
        <f>+D302*2</f>
        <v>0.73584000000000016</v>
      </c>
      <c r="E303" s="285" t="s">
        <v>266</v>
      </c>
      <c r="F303" s="285">
        <v>40</v>
      </c>
      <c r="G303" s="286">
        <f t="shared" si="17"/>
        <v>29.433600000000006</v>
      </c>
    </row>
    <row r="304" spans="1:7" x14ac:dyDescent="0.3">
      <c r="A304" s="290">
        <f t="shared" si="16"/>
        <v>51.300000000000004</v>
      </c>
      <c r="B304" s="309" t="s">
        <v>353</v>
      </c>
      <c r="C304" s="311"/>
      <c r="D304" s="285">
        <f>1.3*1.3*0.3</f>
        <v>0.50700000000000001</v>
      </c>
      <c r="E304" s="285" t="s">
        <v>6</v>
      </c>
      <c r="F304" s="285" t="e">
        <f>+#REF!</f>
        <v>#REF!</v>
      </c>
      <c r="G304" s="286" t="e">
        <f t="shared" si="17"/>
        <v>#REF!</v>
      </c>
    </row>
    <row r="305" spans="1:7" x14ac:dyDescent="0.3">
      <c r="A305" s="290">
        <f t="shared" si="16"/>
        <v>51.400000000000006</v>
      </c>
      <c r="B305" s="309" t="s">
        <v>268</v>
      </c>
      <c r="C305" s="311"/>
      <c r="D305" s="285">
        <f>+D302</f>
        <v>0.36792000000000008</v>
      </c>
      <c r="E305" s="285" t="s">
        <v>17</v>
      </c>
      <c r="F305" s="285">
        <v>260</v>
      </c>
      <c r="G305" s="286">
        <f t="shared" si="17"/>
        <v>95.659200000000027</v>
      </c>
    </row>
    <row r="306" spans="1:7" x14ac:dyDescent="0.3">
      <c r="A306" s="290">
        <f t="shared" si="16"/>
        <v>51.500000000000007</v>
      </c>
      <c r="B306" s="309" t="s">
        <v>270</v>
      </c>
      <c r="C306" s="311"/>
      <c r="D306" s="285">
        <f>+D302*1.1</f>
        <v>0.40471200000000013</v>
      </c>
      <c r="E306" s="285" t="s">
        <v>6</v>
      </c>
      <c r="F306" s="285">
        <v>650</v>
      </c>
      <c r="G306" s="286">
        <f t="shared" si="17"/>
        <v>263.0628000000001</v>
      </c>
    </row>
    <row r="307" spans="1:7" x14ac:dyDescent="0.3">
      <c r="A307" s="290">
        <f t="shared" si="16"/>
        <v>51.600000000000009</v>
      </c>
      <c r="B307" s="309" t="s">
        <v>271</v>
      </c>
      <c r="C307" s="311"/>
      <c r="D307" s="285">
        <v>0.1</v>
      </c>
      <c r="E307" s="285" t="s">
        <v>200</v>
      </c>
      <c r="F307" s="285" t="e">
        <f>SUM(G302:G306)</f>
        <v>#REF!</v>
      </c>
      <c r="G307" s="286" t="e">
        <f t="shared" si="17"/>
        <v>#REF!</v>
      </c>
    </row>
    <row r="308" spans="1:7" x14ac:dyDescent="0.3">
      <c r="A308" s="290"/>
      <c r="B308" s="309"/>
      <c r="C308" s="311"/>
      <c r="D308" s="311"/>
      <c r="E308" s="311"/>
      <c r="F308" s="284" t="s">
        <v>174</v>
      </c>
      <c r="G308" s="293" t="e">
        <f>SUM(G302:G307)/D304</f>
        <v>#REF!</v>
      </c>
    </row>
    <row r="309" spans="1:7" ht="31.2" x14ac:dyDescent="0.3">
      <c r="A309" s="290">
        <v>52</v>
      </c>
      <c r="B309" s="314" t="s">
        <v>747</v>
      </c>
      <c r="C309" s="285"/>
      <c r="D309" s="285"/>
      <c r="E309" s="285"/>
      <c r="F309" s="285"/>
      <c r="G309" s="286"/>
    </row>
    <row r="310" spans="1:7" x14ac:dyDescent="0.3">
      <c r="A310" s="290">
        <f>+A309+0.1</f>
        <v>52.1</v>
      </c>
      <c r="B310" s="309" t="s">
        <v>748</v>
      </c>
      <c r="C310" s="311"/>
      <c r="D310" s="285">
        <v>0.68</v>
      </c>
      <c r="E310" s="285" t="s">
        <v>17</v>
      </c>
      <c r="F310" s="285">
        <v>1850</v>
      </c>
      <c r="G310" s="286">
        <f t="shared" ref="G310:G317" si="18">+F310*D310</f>
        <v>1258</v>
      </c>
    </row>
    <row r="311" spans="1:7" x14ac:dyDescent="0.3">
      <c r="A311" s="290">
        <f t="shared" ref="A311:A317" si="19">+A310+0.1</f>
        <v>52.2</v>
      </c>
      <c r="B311" s="309" t="s">
        <v>362</v>
      </c>
      <c r="C311" s="311"/>
      <c r="D311" s="285">
        <v>0.14000000000000001</v>
      </c>
      <c r="E311" s="285" t="s">
        <v>17</v>
      </c>
      <c r="F311" s="285">
        <f>+F310</f>
        <v>1850</v>
      </c>
      <c r="G311" s="286">
        <f>+F311*D311</f>
        <v>259</v>
      </c>
    </row>
    <row r="312" spans="1:7" x14ac:dyDescent="0.3">
      <c r="A312" s="290">
        <f t="shared" si="19"/>
        <v>52.300000000000004</v>
      </c>
      <c r="B312" s="309" t="s">
        <v>93</v>
      </c>
      <c r="C312" s="311"/>
      <c r="D312" s="285">
        <f>+D310*2+D311*2</f>
        <v>1.6400000000000001</v>
      </c>
      <c r="E312" s="285" t="s">
        <v>266</v>
      </c>
      <c r="F312" s="285">
        <v>40</v>
      </c>
      <c r="G312" s="286">
        <f t="shared" si="18"/>
        <v>65.600000000000009</v>
      </c>
    </row>
    <row r="313" spans="1:7" x14ac:dyDescent="0.3">
      <c r="A313" s="290">
        <f t="shared" si="19"/>
        <v>52.400000000000006</v>
      </c>
      <c r="B313" s="309" t="s">
        <v>354</v>
      </c>
      <c r="C313" s="311"/>
      <c r="D313" s="285">
        <v>3</v>
      </c>
      <c r="E313" s="285" t="s">
        <v>159</v>
      </c>
      <c r="F313" s="285">
        <v>400</v>
      </c>
      <c r="G313" s="286">
        <f t="shared" si="18"/>
        <v>1200</v>
      </c>
    </row>
    <row r="314" spans="1:7" x14ac:dyDescent="0.3">
      <c r="A314" s="290">
        <f t="shared" si="19"/>
        <v>52.500000000000007</v>
      </c>
      <c r="B314" s="309" t="s">
        <v>353</v>
      </c>
      <c r="C314" s="311"/>
      <c r="D314" s="285">
        <v>0.28999999999999998</v>
      </c>
      <c r="E314" s="285" t="s">
        <v>6</v>
      </c>
      <c r="F314" s="285">
        <f>Hormigones!F64</f>
        <v>4714.2</v>
      </c>
      <c r="G314" s="286">
        <f t="shared" si="18"/>
        <v>1367.1179999999999</v>
      </c>
    </row>
    <row r="315" spans="1:7" x14ac:dyDescent="0.3">
      <c r="A315" s="290">
        <f t="shared" si="19"/>
        <v>52.600000000000009</v>
      </c>
      <c r="B315" s="309" t="s">
        <v>268</v>
      </c>
      <c r="C315" s="311"/>
      <c r="D315" s="285">
        <f>+D311+D310</f>
        <v>0.82000000000000006</v>
      </c>
      <c r="E315" s="285" t="s">
        <v>17</v>
      </c>
      <c r="F315" s="285">
        <v>260</v>
      </c>
      <c r="G315" s="286">
        <f t="shared" si="18"/>
        <v>213.20000000000002</v>
      </c>
    </row>
    <row r="316" spans="1:7" x14ac:dyDescent="0.3">
      <c r="A316" s="290">
        <f t="shared" si="19"/>
        <v>52.70000000000001</v>
      </c>
      <c r="B316" s="309" t="s">
        <v>355</v>
      </c>
      <c r="C316" s="311"/>
      <c r="D316" s="285">
        <v>3.4</v>
      </c>
      <c r="E316" s="285" t="s">
        <v>159</v>
      </c>
      <c r="F316" s="285">
        <v>250</v>
      </c>
      <c r="G316" s="286">
        <f t="shared" si="18"/>
        <v>850</v>
      </c>
    </row>
    <row r="317" spans="1:7" x14ac:dyDescent="0.3">
      <c r="A317" s="290">
        <f t="shared" si="19"/>
        <v>52.800000000000011</v>
      </c>
      <c r="B317" s="309" t="s">
        <v>271</v>
      </c>
      <c r="C317" s="311"/>
      <c r="D317" s="285">
        <v>0.1</v>
      </c>
      <c r="E317" s="285" t="s">
        <v>200</v>
      </c>
      <c r="F317" s="285">
        <f>SUM(G310:G316)</f>
        <v>5212.9179999999997</v>
      </c>
      <c r="G317" s="286">
        <f t="shared" si="18"/>
        <v>521.29179999999997</v>
      </c>
    </row>
    <row r="318" spans="1:7" x14ac:dyDescent="0.3">
      <c r="A318" s="290"/>
      <c r="B318" s="309"/>
      <c r="C318" s="311"/>
      <c r="D318" s="311"/>
      <c r="E318" s="311"/>
      <c r="F318" s="284" t="s">
        <v>174</v>
      </c>
      <c r="G318" s="293">
        <f>SUM(G310:G317)/D314</f>
        <v>19773.137241379311</v>
      </c>
    </row>
    <row r="319" spans="1:7" ht="46.8" x14ac:dyDescent="0.3">
      <c r="A319" s="290">
        <v>53</v>
      </c>
      <c r="B319" s="314" t="s">
        <v>356</v>
      </c>
      <c r="C319" s="285"/>
      <c r="D319" s="285"/>
      <c r="E319" s="285"/>
      <c r="F319" s="285"/>
      <c r="G319" s="286"/>
    </row>
    <row r="320" spans="1:7" x14ac:dyDescent="0.3">
      <c r="A320" s="290">
        <f>+A319+0.1</f>
        <v>53.1</v>
      </c>
      <c r="B320" s="309" t="s">
        <v>357</v>
      </c>
      <c r="C320" s="311"/>
      <c r="D320" s="285">
        <f>8*6*0.024</f>
        <v>1.1520000000000001</v>
      </c>
      <c r="E320" s="285" t="s">
        <v>17</v>
      </c>
      <c r="F320" s="285">
        <f>+F311</f>
        <v>1850</v>
      </c>
      <c r="G320" s="286">
        <f t="shared" ref="G320:G327" si="20">+F320*D320</f>
        <v>2131.2000000000003</v>
      </c>
    </row>
    <row r="321" spans="1:7" ht="31.2" x14ac:dyDescent="0.3">
      <c r="A321" s="290">
        <f t="shared" ref="A321:A327" si="21">+A320+0.1</f>
        <v>53.2</v>
      </c>
      <c r="B321" s="309" t="s">
        <v>358</v>
      </c>
      <c r="C321" s="285"/>
      <c r="D321" s="311">
        <f>1.95*28*0.014</f>
        <v>0.76440000000000008</v>
      </c>
      <c r="E321" s="285" t="s">
        <v>17</v>
      </c>
      <c r="F321" s="285">
        <f>+F320</f>
        <v>1850</v>
      </c>
      <c r="G321" s="286">
        <f t="shared" si="20"/>
        <v>1414.14</v>
      </c>
    </row>
    <row r="322" spans="1:7" x14ac:dyDescent="0.3">
      <c r="A322" s="290">
        <f t="shared" si="21"/>
        <v>53.300000000000004</v>
      </c>
      <c r="B322" s="309" t="s">
        <v>93</v>
      </c>
      <c r="C322" s="311"/>
      <c r="D322" s="285">
        <f>+(D321+D320)*2</f>
        <v>3.8328000000000007</v>
      </c>
      <c r="E322" s="285" t="s">
        <v>266</v>
      </c>
      <c r="F322" s="285">
        <v>40</v>
      </c>
      <c r="G322" s="286">
        <f t="shared" si="20"/>
        <v>153.31200000000001</v>
      </c>
    </row>
    <row r="323" spans="1:7" x14ac:dyDescent="0.3">
      <c r="A323" s="290">
        <f t="shared" si="21"/>
        <v>53.400000000000006</v>
      </c>
      <c r="B323" s="309" t="s">
        <v>359</v>
      </c>
      <c r="C323" s="311"/>
      <c r="D323" s="285">
        <v>3.8</v>
      </c>
      <c r="E323" s="285" t="s">
        <v>159</v>
      </c>
      <c r="F323" s="285">
        <v>360</v>
      </c>
      <c r="G323" s="286">
        <f t="shared" si="20"/>
        <v>1368</v>
      </c>
    </row>
    <row r="324" spans="1:7" x14ac:dyDescent="0.3">
      <c r="A324" s="290">
        <f t="shared" si="21"/>
        <v>53.500000000000007</v>
      </c>
      <c r="B324" s="309" t="s">
        <v>353</v>
      </c>
      <c r="C324" s="311"/>
      <c r="D324" s="285">
        <f>0.25*0.4*3.8</f>
        <v>0.38</v>
      </c>
      <c r="E324" s="285" t="s">
        <v>6</v>
      </c>
      <c r="F324" s="285">
        <f>+F314</f>
        <v>4714.2</v>
      </c>
      <c r="G324" s="286">
        <f t="shared" si="20"/>
        <v>1791.396</v>
      </c>
    </row>
    <row r="325" spans="1:7" x14ac:dyDescent="0.3">
      <c r="A325" s="290">
        <f t="shared" si="21"/>
        <v>53.600000000000009</v>
      </c>
      <c r="B325" s="309" t="s">
        <v>268</v>
      </c>
      <c r="C325" s="311"/>
      <c r="D325" s="285">
        <f>+D321+D320</f>
        <v>1.9164000000000003</v>
      </c>
      <c r="E325" s="285" t="s">
        <v>17</v>
      </c>
      <c r="F325" s="285">
        <v>260</v>
      </c>
      <c r="G325" s="286">
        <f t="shared" si="20"/>
        <v>498.26400000000007</v>
      </c>
    </row>
    <row r="326" spans="1:7" x14ac:dyDescent="0.3">
      <c r="A326" s="290">
        <f t="shared" si="21"/>
        <v>53.70000000000001</v>
      </c>
      <c r="B326" s="309" t="s">
        <v>360</v>
      </c>
      <c r="C326" s="311"/>
      <c r="D326" s="285">
        <v>3.8</v>
      </c>
      <c r="E326" s="285" t="s">
        <v>159</v>
      </c>
      <c r="F326" s="285">
        <v>250</v>
      </c>
      <c r="G326" s="286">
        <f t="shared" si="20"/>
        <v>950</v>
      </c>
    </row>
    <row r="327" spans="1:7" x14ac:dyDescent="0.3">
      <c r="A327" s="290">
        <f t="shared" si="21"/>
        <v>53.800000000000011</v>
      </c>
      <c r="B327" s="309" t="s">
        <v>271</v>
      </c>
      <c r="C327" s="311"/>
      <c r="D327" s="285">
        <v>0.1</v>
      </c>
      <c r="E327" s="285" t="s">
        <v>200</v>
      </c>
      <c r="F327" s="285">
        <f>SUM(G320:G326)</f>
        <v>8306.3119999999999</v>
      </c>
      <c r="G327" s="286">
        <f t="shared" si="20"/>
        <v>830.63120000000004</v>
      </c>
    </row>
    <row r="328" spans="1:7" x14ac:dyDescent="0.3">
      <c r="A328" s="290"/>
      <c r="B328" s="309"/>
      <c r="C328" s="311"/>
      <c r="D328" s="311"/>
      <c r="E328" s="311"/>
      <c r="F328" s="284" t="s">
        <v>174</v>
      </c>
      <c r="G328" s="293">
        <f>SUM(G320:G327)/D324</f>
        <v>24044.587368421053</v>
      </c>
    </row>
    <row r="329" spans="1:7" ht="46.8" x14ac:dyDescent="0.3">
      <c r="A329" s="290">
        <v>54</v>
      </c>
      <c r="B329" s="314" t="s">
        <v>361</v>
      </c>
      <c r="C329" s="285"/>
      <c r="D329" s="285"/>
      <c r="E329" s="285"/>
      <c r="F329" s="285"/>
      <c r="G329" s="286"/>
    </row>
    <row r="330" spans="1:7" x14ac:dyDescent="0.3">
      <c r="A330" s="290">
        <f>+A329+0.1</f>
        <v>54.1</v>
      </c>
      <c r="B330" s="309" t="s">
        <v>362</v>
      </c>
      <c r="C330" s="285"/>
      <c r="D330" s="311">
        <v>1.28</v>
      </c>
      <c r="E330" s="285" t="s">
        <v>17</v>
      </c>
      <c r="F330" s="285">
        <f>+F321</f>
        <v>1850</v>
      </c>
      <c r="G330" s="286">
        <f t="shared" ref="G330:G336" si="22">+F330*D330</f>
        <v>2368</v>
      </c>
    </row>
    <row r="331" spans="1:7" x14ac:dyDescent="0.3">
      <c r="A331" s="290">
        <f t="shared" ref="A331:A336" si="23">+A330+0.1</f>
        <v>54.2</v>
      </c>
      <c r="B331" s="309" t="s">
        <v>93</v>
      </c>
      <c r="C331" s="311"/>
      <c r="D331" s="285">
        <f>+D330*2.2</f>
        <v>2.8160000000000003</v>
      </c>
      <c r="E331" s="285" t="s">
        <v>266</v>
      </c>
      <c r="F331" s="285">
        <v>40</v>
      </c>
      <c r="G331" s="286">
        <f t="shared" si="22"/>
        <v>112.64000000000001</v>
      </c>
    </row>
    <row r="332" spans="1:7" x14ac:dyDescent="0.3">
      <c r="A332" s="290">
        <f t="shared" si="23"/>
        <v>54.300000000000004</v>
      </c>
      <c r="B332" s="309" t="s">
        <v>363</v>
      </c>
      <c r="C332" s="311"/>
      <c r="D332" s="285">
        <v>8.33</v>
      </c>
      <c r="E332" s="285" t="s">
        <v>159</v>
      </c>
      <c r="F332" s="285">
        <v>290</v>
      </c>
      <c r="G332" s="286">
        <f t="shared" si="22"/>
        <v>2415.6999999999998</v>
      </c>
    </row>
    <row r="333" spans="1:7" x14ac:dyDescent="0.3">
      <c r="A333" s="290">
        <f t="shared" si="23"/>
        <v>54.400000000000006</v>
      </c>
      <c r="B333" s="309" t="s">
        <v>353</v>
      </c>
      <c r="C333" s="311"/>
      <c r="D333" s="285">
        <v>1</v>
      </c>
      <c r="E333" s="285" t="s">
        <v>6</v>
      </c>
      <c r="F333" s="285">
        <f>+F324</f>
        <v>4714.2</v>
      </c>
      <c r="G333" s="286">
        <f t="shared" si="22"/>
        <v>4714.2</v>
      </c>
    </row>
    <row r="334" spans="1:7" x14ac:dyDescent="0.3">
      <c r="A334" s="290">
        <f t="shared" si="23"/>
        <v>54.500000000000007</v>
      </c>
      <c r="B334" s="309" t="s">
        <v>268</v>
      </c>
      <c r="C334" s="311"/>
      <c r="D334" s="285">
        <f>+D330</f>
        <v>1.28</v>
      </c>
      <c r="E334" s="285" t="s">
        <v>17</v>
      </c>
      <c r="F334" s="285">
        <v>260</v>
      </c>
      <c r="G334" s="286">
        <f t="shared" si="22"/>
        <v>332.8</v>
      </c>
    </row>
    <row r="335" spans="1:7" x14ac:dyDescent="0.3">
      <c r="A335" s="290">
        <f t="shared" si="23"/>
        <v>54.600000000000009</v>
      </c>
      <c r="B335" s="309" t="s">
        <v>364</v>
      </c>
      <c r="C335" s="311"/>
      <c r="D335" s="285">
        <f>+D333*1.05</f>
        <v>1.05</v>
      </c>
      <c r="E335" s="285" t="s">
        <v>173</v>
      </c>
      <c r="F335" s="285">
        <v>270</v>
      </c>
      <c r="G335" s="286">
        <f t="shared" si="22"/>
        <v>283.5</v>
      </c>
    </row>
    <row r="336" spans="1:7" x14ac:dyDescent="0.3">
      <c r="A336" s="290">
        <f t="shared" si="23"/>
        <v>54.70000000000001</v>
      </c>
      <c r="B336" s="309" t="s">
        <v>271</v>
      </c>
      <c r="C336" s="311"/>
      <c r="D336" s="285">
        <v>0.1</v>
      </c>
      <c r="E336" s="285" t="s">
        <v>200</v>
      </c>
      <c r="F336" s="285">
        <f>SUM(G330:G335)</f>
        <v>10226.84</v>
      </c>
      <c r="G336" s="286">
        <f t="shared" si="22"/>
        <v>1022.6840000000001</v>
      </c>
    </row>
    <row r="337" spans="1:8" x14ac:dyDescent="0.3">
      <c r="A337" s="290"/>
      <c r="B337" s="309"/>
      <c r="C337" s="311"/>
      <c r="D337" s="311"/>
      <c r="E337" s="311"/>
      <c r="F337" s="284" t="s">
        <v>174</v>
      </c>
      <c r="G337" s="293">
        <f>SUM(G330:G336)</f>
        <v>11249.523999999999</v>
      </c>
    </row>
    <row r="338" spans="1:8" x14ac:dyDescent="0.3">
      <c r="A338" s="290">
        <v>55</v>
      </c>
      <c r="B338" s="314" t="s">
        <v>365</v>
      </c>
      <c r="C338" s="285"/>
      <c r="D338" s="285"/>
      <c r="E338" s="285"/>
      <c r="F338" s="285"/>
      <c r="G338" s="286"/>
    </row>
    <row r="339" spans="1:8" x14ac:dyDescent="0.3">
      <c r="A339" s="290">
        <f>+A338+0.1</f>
        <v>55.1</v>
      </c>
      <c r="B339" s="291" t="s">
        <v>366</v>
      </c>
      <c r="C339" s="309"/>
      <c r="D339" s="285">
        <v>8</v>
      </c>
      <c r="E339" s="285" t="s">
        <v>191</v>
      </c>
      <c r="F339" s="285">
        <v>2400</v>
      </c>
      <c r="G339" s="286">
        <f>+F339*D339</f>
        <v>19200</v>
      </c>
    </row>
    <row r="340" spans="1:8" x14ac:dyDescent="0.3">
      <c r="A340" s="290">
        <f t="shared" ref="A340:A346" si="24">+A339+0.1</f>
        <v>55.2</v>
      </c>
      <c r="B340" s="309" t="s">
        <v>367</v>
      </c>
      <c r="C340" s="309"/>
      <c r="D340" s="285">
        <v>2</v>
      </c>
      <c r="E340" s="285" t="s">
        <v>173</v>
      </c>
      <c r="F340" s="285">
        <v>850</v>
      </c>
      <c r="G340" s="286">
        <f t="shared" ref="G340:G346" si="25">+F340*D340</f>
        <v>1700</v>
      </c>
    </row>
    <row r="341" spans="1:8" x14ac:dyDescent="0.3">
      <c r="A341" s="290">
        <f t="shared" si="24"/>
        <v>55.300000000000004</v>
      </c>
      <c r="B341" s="309" t="s">
        <v>368</v>
      </c>
      <c r="C341" s="309"/>
      <c r="D341" s="285">
        <v>1</v>
      </c>
      <c r="E341" s="285" t="s">
        <v>173</v>
      </c>
      <c r="F341" s="285">
        <v>1100</v>
      </c>
      <c r="G341" s="286">
        <f t="shared" si="25"/>
        <v>1100</v>
      </c>
    </row>
    <row r="342" spans="1:8" x14ac:dyDescent="0.3">
      <c r="A342" s="290">
        <f t="shared" si="24"/>
        <v>55.400000000000006</v>
      </c>
      <c r="B342" s="291" t="s">
        <v>213</v>
      </c>
      <c r="C342" s="285"/>
      <c r="D342" s="285">
        <f>4*8</f>
        <v>32</v>
      </c>
      <c r="E342" s="285" t="s">
        <v>369</v>
      </c>
      <c r="F342" s="285">
        <f>+G107</f>
        <v>244.42</v>
      </c>
      <c r="G342" s="286">
        <f t="shared" si="25"/>
        <v>7821.44</v>
      </c>
    </row>
    <row r="343" spans="1:8" x14ac:dyDescent="0.3">
      <c r="A343" s="290">
        <f t="shared" si="24"/>
        <v>55.500000000000007</v>
      </c>
      <c r="B343" s="291" t="s">
        <v>370</v>
      </c>
      <c r="C343" s="285"/>
      <c r="D343" s="285">
        <v>16</v>
      </c>
      <c r="E343" s="285" t="s">
        <v>149</v>
      </c>
      <c r="F343" s="285">
        <v>36</v>
      </c>
      <c r="G343" s="286">
        <f t="shared" si="25"/>
        <v>576</v>
      </c>
      <c r="H343" s="270">
        <f>2342/8</f>
        <v>292.75</v>
      </c>
    </row>
    <row r="344" spans="1:8" x14ac:dyDescent="0.3">
      <c r="A344" s="290">
        <f t="shared" si="24"/>
        <v>55.600000000000009</v>
      </c>
      <c r="B344" s="291" t="s">
        <v>371</v>
      </c>
      <c r="C344" s="285"/>
      <c r="D344" s="285">
        <v>10</v>
      </c>
      <c r="E344" s="285" t="s">
        <v>154</v>
      </c>
      <c r="F344" s="285">
        <v>45</v>
      </c>
      <c r="G344" s="286">
        <f t="shared" si="25"/>
        <v>450</v>
      </c>
    </row>
    <row r="345" spans="1:8" x14ac:dyDescent="0.3">
      <c r="A345" s="290">
        <f t="shared" si="24"/>
        <v>55.70000000000001</v>
      </c>
      <c r="B345" s="291" t="s">
        <v>372</v>
      </c>
      <c r="C345" s="285"/>
      <c r="D345" s="285">
        <v>6</v>
      </c>
      <c r="E345" s="285" t="s">
        <v>373</v>
      </c>
      <c r="F345" s="285">
        <v>65</v>
      </c>
      <c r="G345" s="286">
        <f t="shared" si="25"/>
        <v>390</v>
      </c>
    </row>
    <row r="346" spans="1:8" x14ac:dyDescent="0.3">
      <c r="A346" s="290">
        <f t="shared" si="24"/>
        <v>55.800000000000011</v>
      </c>
      <c r="B346" s="291" t="s">
        <v>374</v>
      </c>
      <c r="C346" s="285"/>
      <c r="D346" s="285">
        <v>8</v>
      </c>
      <c r="E346" s="285" t="s">
        <v>375</v>
      </c>
      <c r="F346" s="285">
        <v>750</v>
      </c>
      <c r="G346" s="286">
        <f t="shared" si="25"/>
        <v>6000</v>
      </c>
    </row>
    <row r="347" spans="1:8" x14ac:dyDescent="0.3">
      <c r="A347" s="290"/>
      <c r="B347" s="291"/>
      <c r="C347" s="285"/>
      <c r="D347" s="285"/>
      <c r="E347" s="285"/>
      <c r="F347" s="312" t="s">
        <v>146</v>
      </c>
      <c r="G347" s="313">
        <f>SUM(G339:G346)/20.35</f>
        <v>1829.8496314496315</v>
      </c>
    </row>
    <row r="348" spans="1:8" x14ac:dyDescent="0.3">
      <c r="A348" s="290">
        <v>56</v>
      </c>
      <c r="B348" s="314" t="s">
        <v>376</v>
      </c>
      <c r="C348" s="285"/>
      <c r="D348" s="285"/>
      <c r="E348" s="285"/>
      <c r="F348" s="285"/>
      <c r="G348" s="286"/>
    </row>
    <row r="349" spans="1:8" x14ac:dyDescent="0.3">
      <c r="A349" s="290">
        <f>+A348+0.1</f>
        <v>56.1</v>
      </c>
      <c r="B349" s="314" t="s">
        <v>377</v>
      </c>
      <c r="C349" s="285"/>
      <c r="D349" s="285"/>
      <c r="E349" s="285"/>
      <c r="F349" s="285"/>
      <c r="G349" s="286"/>
    </row>
    <row r="350" spans="1:8" x14ac:dyDescent="0.3">
      <c r="A350" s="290">
        <f>+A349+0.1</f>
        <v>56.2</v>
      </c>
      <c r="B350" s="291" t="s">
        <v>378</v>
      </c>
      <c r="C350" s="291"/>
      <c r="D350" s="285">
        <v>0.05</v>
      </c>
      <c r="E350" s="285" t="s">
        <v>173</v>
      </c>
      <c r="F350" s="285">
        <f>+G160</f>
        <v>3040.9399999999996</v>
      </c>
      <c r="G350" s="286">
        <f>D350*F350</f>
        <v>152.047</v>
      </c>
    </row>
    <row r="351" spans="1:8" x14ac:dyDescent="0.3">
      <c r="A351" s="290">
        <f>+A350+0.1</f>
        <v>56.300000000000004</v>
      </c>
      <c r="B351" s="291" t="s">
        <v>379</v>
      </c>
      <c r="C351" s="291"/>
      <c r="D351" s="285">
        <f>+D350*1.1</f>
        <v>5.5000000000000007E-2</v>
      </c>
      <c r="E351" s="285" t="s">
        <v>173</v>
      </c>
      <c r="F351" s="285">
        <v>185</v>
      </c>
      <c r="G351" s="286">
        <f>+F351*D351</f>
        <v>10.175000000000001</v>
      </c>
    </row>
    <row r="352" spans="1:8" x14ac:dyDescent="0.3">
      <c r="A352" s="290">
        <f>+A351+0.1</f>
        <v>56.400000000000006</v>
      </c>
      <c r="B352" s="291" t="s">
        <v>380</v>
      </c>
      <c r="C352" s="291"/>
      <c r="D352" s="285">
        <v>1</v>
      </c>
      <c r="E352" s="285" t="s">
        <v>168</v>
      </c>
      <c r="F352" s="285">
        <v>145</v>
      </c>
      <c r="G352" s="286">
        <f>D352*F352</f>
        <v>145</v>
      </c>
    </row>
    <row r="353" spans="1:7" x14ac:dyDescent="0.3">
      <c r="A353" s="290"/>
      <c r="B353" s="291"/>
      <c r="C353" s="291"/>
      <c r="D353" s="285"/>
      <c r="E353" s="285"/>
      <c r="F353" s="285" t="s">
        <v>146</v>
      </c>
      <c r="G353" s="286">
        <f>SUM(G350:G352)</f>
        <v>307.22199999999998</v>
      </c>
    </row>
    <row r="354" spans="1:7" x14ac:dyDescent="0.3">
      <c r="A354" s="290"/>
      <c r="B354" s="291"/>
      <c r="C354" s="291"/>
      <c r="D354" s="317"/>
      <c r="E354" s="317"/>
      <c r="F354" s="317"/>
      <c r="G354" s="318"/>
    </row>
    <row r="355" spans="1:7" x14ac:dyDescent="0.3">
      <c r="A355" s="290">
        <v>57</v>
      </c>
      <c r="B355" s="314" t="s">
        <v>381</v>
      </c>
      <c r="C355" s="291"/>
      <c r="D355" s="285">
        <v>1</v>
      </c>
      <c r="E355" s="285" t="s">
        <v>168</v>
      </c>
      <c r="F355" s="285">
        <v>400</v>
      </c>
      <c r="G355" s="286">
        <f>D355*F355</f>
        <v>400</v>
      </c>
    </row>
    <row r="356" spans="1:7" x14ac:dyDescent="0.3">
      <c r="A356" s="290"/>
      <c r="B356" s="291"/>
      <c r="C356" s="291"/>
      <c r="D356" s="285"/>
      <c r="E356" s="285"/>
      <c r="F356" s="312" t="s">
        <v>146</v>
      </c>
      <c r="G356" s="313">
        <f>SUM(G355)</f>
        <v>400</v>
      </c>
    </row>
    <row r="357" spans="1:7" x14ac:dyDescent="0.3">
      <c r="A357" s="290">
        <v>58</v>
      </c>
      <c r="B357" s="314" t="s">
        <v>382</v>
      </c>
      <c r="C357" s="291"/>
      <c r="D357" s="317"/>
      <c r="E357" s="317"/>
      <c r="F357" s="317"/>
      <c r="G357" s="318"/>
    </row>
    <row r="358" spans="1:7" x14ac:dyDescent="0.3">
      <c r="A358" s="290">
        <f t="shared" ref="A358:A363" si="26">+A357+0.1</f>
        <v>58.1</v>
      </c>
      <c r="B358" s="327" t="s">
        <v>383</v>
      </c>
      <c r="C358" s="291"/>
      <c r="D358" s="285">
        <v>1</v>
      </c>
      <c r="E358" s="285" t="s">
        <v>168</v>
      </c>
      <c r="F358" s="285">
        <v>745</v>
      </c>
      <c r="G358" s="286">
        <f>D358*F358</f>
        <v>745</v>
      </c>
    </row>
    <row r="359" spans="1:7" x14ac:dyDescent="0.3">
      <c r="A359" s="290">
        <f t="shared" si="26"/>
        <v>58.2</v>
      </c>
      <c r="B359" s="291" t="s">
        <v>384</v>
      </c>
      <c r="C359" s="291"/>
      <c r="D359" s="285">
        <v>0.1</v>
      </c>
      <c r="E359" s="285" t="s">
        <v>173</v>
      </c>
      <c r="F359" s="285">
        <f>+G147</f>
        <v>2765.94</v>
      </c>
      <c r="G359" s="286">
        <f>D359*F359</f>
        <v>276.59399999999999</v>
      </c>
    </row>
    <row r="360" spans="1:7" x14ac:dyDescent="0.3">
      <c r="A360" s="290">
        <f t="shared" si="26"/>
        <v>58.300000000000004</v>
      </c>
      <c r="B360" s="291" t="s">
        <v>385</v>
      </c>
      <c r="C360" s="291"/>
      <c r="D360" s="285">
        <v>1</v>
      </c>
      <c r="E360" s="285" t="s">
        <v>168</v>
      </c>
      <c r="F360" s="285">
        <v>186</v>
      </c>
      <c r="G360" s="286">
        <f>+F360*D360</f>
        <v>186</v>
      </c>
    </row>
    <row r="361" spans="1:7" x14ac:dyDescent="0.3">
      <c r="A361" s="290">
        <f t="shared" si="26"/>
        <v>58.400000000000006</v>
      </c>
      <c r="B361" s="291" t="s">
        <v>386</v>
      </c>
      <c r="C361" s="291"/>
      <c r="D361" s="285">
        <v>8</v>
      </c>
      <c r="E361" s="285" t="s">
        <v>152</v>
      </c>
      <c r="F361" s="285">
        <v>10</v>
      </c>
      <c r="G361" s="286">
        <f>D361*F361</f>
        <v>80</v>
      </c>
    </row>
    <row r="362" spans="1:7" x14ac:dyDescent="0.3">
      <c r="A362" s="290">
        <f t="shared" si="26"/>
        <v>58.500000000000007</v>
      </c>
      <c r="B362" s="291" t="s">
        <v>387</v>
      </c>
      <c r="C362" s="285"/>
      <c r="D362" s="285">
        <v>1</v>
      </c>
      <c r="E362" s="285" t="s">
        <v>168</v>
      </c>
      <c r="F362" s="285">
        <v>286</v>
      </c>
      <c r="G362" s="286">
        <f>D362*F362</f>
        <v>286</v>
      </c>
    </row>
    <row r="363" spans="1:7" x14ac:dyDescent="0.3">
      <c r="A363" s="290">
        <f t="shared" si="26"/>
        <v>58.600000000000009</v>
      </c>
      <c r="B363" s="291" t="s">
        <v>388</v>
      </c>
      <c r="C363" s="285"/>
      <c r="D363" s="285">
        <v>0.1</v>
      </c>
      <c r="E363" s="285" t="s">
        <v>157</v>
      </c>
      <c r="F363" s="285">
        <f>SUM(G358:G362)</f>
        <v>1573.5940000000001</v>
      </c>
      <c r="G363" s="286">
        <f>D363*F363</f>
        <v>157.35940000000002</v>
      </c>
    </row>
    <row r="364" spans="1:7" x14ac:dyDescent="0.3">
      <c r="A364" s="290"/>
      <c r="B364" s="291"/>
      <c r="C364" s="285"/>
      <c r="D364" s="285"/>
      <c r="E364" s="285"/>
      <c r="F364" s="312" t="s">
        <v>146</v>
      </c>
      <c r="G364" s="313">
        <f>SUM(G358:G363)</f>
        <v>1730.9534000000001</v>
      </c>
    </row>
    <row r="365" spans="1:7" x14ac:dyDescent="0.3">
      <c r="A365" s="290">
        <v>59</v>
      </c>
      <c r="B365" s="314" t="s">
        <v>389</v>
      </c>
      <c r="C365" s="285"/>
      <c r="D365" s="285"/>
      <c r="E365" s="285"/>
      <c r="F365" s="285"/>
      <c r="G365" s="286"/>
    </row>
    <row r="366" spans="1:7" x14ac:dyDescent="0.3">
      <c r="A366" s="290">
        <f>+A365+0.1</f>
        <v>59.1</v>
      </c>
      <c r="B366" s="327" t="s">
        <v>390</v>
      </c>
      <c r="C366" s="285"/>
      <c r="D366" s="285">
        <v>1</v>
      </c>
      <c r="E366" s="285" t="s">
        <v>159</v>
      </c>
      <c r="F366" s="285">
        <v>450</v>
      </c>
      <c r="G366" s="286">
        <f>D366*F366</f>
        <v>450</v>
      </c>
    </row>
    <row r="367" spans="1:7" x14ac:dyDescent="0.3">
      <c r="A367" s="290">
        <f>+A366+0.1</f>
        <v>59.2</v>
      </c>
      <c r="B367" s="291" t="s">
        <v>391</v>
      </c>
      <c r="C367" s="291"/>
      <c r="D367" s="285">
        <f>0.05*0.5</f>
        <v>2.5000000000000001E-2</v>
      </c>
      <c r="E367" s="285" t="s">
        <v>173</v>
      </c>
      <c r="F367" s="285">
        <f>+F359</f>
        <v>2765.94</v>
      </c>
      <c r="G367" s="286">
        <f>D367*F367</f>
        <v>69.148499999999999</v>
      </c>
    </row>
    <row r="368" spans="1:7" x14ac:dyDescent="0.3">
      <c r="A368" s="290">
        <f>+A367+0.1</f>
        <v>59.300000000000004</v>
      </c>
      <c r="B368" s="291" t="s">
        <v>386</v>
      </c>
      <c r="C368" s="291"/>
      <c r="D368" s="285">
        <v>1</v>
      </c>
      <c r="E368" s="285" t="s">
        <v>152</v>
      </c>
      <c r="F368" s="285">
        <v>10</v>
      </c>
      <c r="G368" s="286">
        <f>D368*F368</f>
        <v>10</v>
      </c>
    </row>
    <row r="369" spans="1:7" x14ac:dyDescent="0.3">
      <c r="A369" s="290">
        <f>+A368+0.1</f>
        <v>59.400000000000006</v>
      </c>
      <c r="B369" s="291" t="s">
        <v>387</v>
      </c>
      <c r="C369" s="285"/>
      <c r="D369" s="285">
        <v>1</v>
      </c>
      <c r="E369" s="285" t="s">
        <v>159</v>
      </c>
      <c r="F369" s="285">
        <v>150</v>
      </c>
      <c r="G369" s="286">
        <f>D369*F369</f>
        <v>150</v>
      </c>
    </row>
    <row r="370" spans="1:7" x14ac:dyDescent="0.3">
      <c r="A370" s="290">
        <f>+A369+0.1</f>
        <v>59.500000000000007</v>
      </c>
      <c r="B370" s="291" t="s">
        <v>392</v>
      </c>
      <c r="C370" s="285"/>
      <c r="D370" s="285">
        <v>0.1</v>
      </c>
      <c r="E370" s="285" t="s">
        <v>157</v>
      </c>
      <c r="F370" s="285">
        <f>SUM(G366:G369)</f>
        <v>679.14850000000001</v>
      </c>
      <c r="G370" s="286">
        <f>D370*F370</f>
        <v>67.914850000000001</v>
      </c>
    </row>
    <row r="371" spans="1:7" x14ac:dyDescent="0.3">
      <c r="A371" s="290"/>
      <c r="B371" s="291"/>
      <c r="C371" s="285"/>
      <c r="D371" s="285"/>
      <c r="E371" s="285"/>
      <c r="F371" s="312" t="s">
        <v>146</v>
      </c>
      <c r="G371" s="313">
        <f>SUM(G366:G370)</f>
        <v>747.06335000000001</v>
      </c>
    </row>
    <row r="372" spans="1:7" ht="31.2" x14ac:dyDescent="0.3">
      <c r="A372" s="290">
        <v>60</v>
      </c>
      <c r="B372" s="314" t="s">
        <v>393</v>
      </c>
      <c r="C372" s="285"/>
      <c r="D372" s="285"/>
      <c r="E372" s="285"/>
      <c r="F372" s="285"/>
      <c r="G372" s="286"/>
    </row>
    <row r="373" spans="1:7" x14ac:dyDescent="0.3">
      <c r="A373" s="290">
        <f>+A372+0.1</f>
        <v>60.1</v>
      </c>
      <c r="B373" s="327" t="s">
        <v>394</v>
      </c>
      <c r="C373" s="285"/>
      <c r="D373" s="285">
        <v>1</v>
      </c>
      <c r="E373" s="285" t="s">
        <v>173</v>
      </c>
      <c r="F373" s="285">
        <f>+G125</f>
        <v>3202.9399999999996</v>
      </c>
      <c r="G373" s="286">
        <f>D373*F373</f>
        <v>3202.9399999999996</v>
      </c>
    </row>
    <row r="374" spans="1:7" x14ac:dyDescent="0.3">
      <c r="A374" s="290">
        <f>+A373+0.1</f>
        <v>60.2</v>
      </c>
      <c r="B374" s="327" t="s">
        <v>395</v>
      </c>
      <c r="C374" s="285"/>
      <c r="D374" s="285">
        <v>25</v>
      </c>
      <c r="E374" s="285" t="s">
        <v>159</v>
      </c>
      <c r="F374" s="285">
        <v>40</v>
      </c>
      <c r="G374" s="286">
        <f>D374*F374</f>
        <v>1000</v>
      </c>
    </row>
    <row r="375" spans="1:7" x14ac:dyDescent="0.3">
      <c r="A375" s="290">
        <f>+A374+0.1</f>
        <v>60.300000000000004</v>
      </c>
      <c r="B375" s="327" t="s">
        <v>396</v>
      </c>
      <c r="C375" s="285"/>
      <c r="D375" s="285">
        <v>2</v>
      </c>
      <c r="E375" s="285" t="s">
        <v>149</v>
      </c>
      <c r="F375" s="317">
        <v>36</v>
      </c>
      <c r="G375" s="286">
        <f>D375*F375</f>
        <v>72</v>
      </c>
    </row>
    <row r="376" spans="1:7" x14ac:dyDescent="0.3">
      <c r="A376" s="290"/>
      <c r="B376" s="327"/>
      <c r="C376" s="285"/>
      <c r="D376" s="285"/>
      <c r="E376" s="285"/>
      <c r="F376" s="312" t="s">
        <v>174</v>
      </c>
      <c r="G376" s="313">
        <f>SUM(G373:G375)</f>
        <v>4274.9399999999996</v>
      </c>
    </row>
    <row r="377" spans="1:7" ht="46.8" x14ac:dyDescent="0.3">
      <c r="A377" s="290">
        <v>61</v>
      </c>
      <c r="B377" s="314" t="s">
        <v>397</v>
      </c>
      <c r="C377" s="285"/>
      <c r="D377" s="285"/>
      <c r="E377" s="285"/>
      <c r="F377" s="285"/>
      <c r="G377" s="286"/>
    </row>
    <row r="378" spans="1:7" x14ac:dyDescent="0.3">
      <c r="A378" s="290">
        <f>+A377+0.1</f>
        <v>61.1</v>
      </c>
      <c r="B378" s="327" t="s">
        <v>394</v>
      </c>
      <c r="C378" s="285"/>
      <c r="D378" s="285">
        <v>1</v>
      </c>
      <c r="E378" s="285" t="s">
        <v>173</v>
      </c>
      <c r="F378" s="285">
        <f>+F373</f>
        <v>3202.9399999999996</v>
      </c>
      <c r="G378" s="286">
        <f>D378*F378</f>
        <v>3202.9399999999996</v>
      </c>
    </row>
    <row r="379" spans="1:7" x14ac:dyDescent="0.3">
      <c r="A379" s="290">
        <f>+A378+0.1</f>
        <v>61.2</v>
      </c>
      <c r="B379" s="327" t="s">
        <v>395</v>
      </c>
      <c r="C379" s="285"/>
      <c r="D379" s="285">
        <f>1/0.08</f>
        <v>12.5</v>
      </c>
      <c r="E379" s="285" t="s">
        <v>168</v>
      </c>
      <c r="F379" s="285">
        <v>70</v>
      </c>
      <c r="G379" s="286">
        <f>D379*F379</f>
        <v>875</v>
      </c>
    </row>
    <row r="380" spans="1:7" x14ac:dyDescent="0.3">
      <c r="A380" s="290">
        <f>+A379+0.1</f>
        <v>61.300000000000004</v>
      </c>
      <c r="B380" s="327" t="s">
        <v>396</v>
      </c>
      <c r="C380" s="285"/>
      <c r="D380" s="285">
        <v>2</v>
      </c>
      <c r="E380" s="285" t="s">
        <v>149</v>
      </c>
      <c r="F380" s="317">
        <v>36</v>
      </c>
      <c r="G380" s="286">
        <f>D380*F380</f>
        <v>72</v>
      </c>
    </row>
    <row r="381" spans="1:7" x14ac:dyDescent="0.3">
      <c r="A381" s="290"/>
      <c r="B381" s="327"/>
      <c r="C381" s="285"/>
      <c r="D381" s="285"/>
      <c r="E381" s="285"/>
      <c r="F381" s="312" t="s">
        <v>174</v>
      </c>
      <c r="G381" s="313">
        <f>SUM(G378:G380)</f>
        <v>4149.9399999999996</v>
      </c>
    </row>
    <row r="382" spans="1:7" ht="31.2" x14ac:dyDescent="0.3">
      <c r="A382" s="290">
        <v>62</v>
      </c>
      <c r="B382" s="314" t="s">
        <v>398</v>
      </c>
      <c r="C382" s="285"/>
      <c r="D382" s="285"/>
      <c r="E382" s="285"/>
      <c r="F382" s="312"/>
      <c r="G382" s="313"/>
    </row>
    <row r="383" spans="1:7" ht="31.2" x14ac:dyDescent="0.3">
      <c r="A383" s="290">
        <f>+A382+0.1</f>
        <v>62.1</v>
      </c>
      <c r="B383" s="327" t="s">
        <v>399</v>
      </c>
      <c r="C383" s="285">
        <v>1.1000000000000001</v>
      </c>
      <c r="D383" s="285">
        <v>1</v>
      </c>
      <c r="E383" s="285" t="s">
        <v>168</v>
      </c>
      <c r="F383" s="285">
        <v>610</v>
      </c>
      <c r="G383" s="286">
        <f>+F383*D383*C383</f>
        <v>671</v>
      </c>
    </row>
    <row r="384" spans="1:7" x14ac:dyDescent="0.3">
      <c r="A384" s="290">
        <f t="shared" ref="A384:A389" si="27">+A383+0.1</f>
        <v>62.2</v>
      </c>
      <c r="B384" s="291" t="s">
        <v>400</v>
      </c>
      <c r="C384" s="285">
        <v>0.04</v>
      </c>
      <c r="D384" s="285">
        <v>1</v>
      </c>
      <c r="E384" s="285" t="s">
        <v>173</v>
      </c>
      <c r="F384" s="285">
        <f>+G147</f>
        <v>2765.94</v>
      </c>
      <c r="G384" s="286">
        <f t="shared" ref="G384:G389" si="28">+F384*D384*C384</f>
        <v>110.63760000000001</v>
      </c>
    </row>
    <row r="385" spans="1:7" x14ac:dyDescent="0.3">
      <c r="A385" s="290">
        <f t="shared" si="27"/>
        <v>62.300000000000004</v>
      </c>
      <c r="B385" s="291" t="s">
        <v>401</v>
      </c>
      <c r="C385" s="285">
        <v>1</v>
      </c>
      <c r="D385" s="285">
        <v>6.6666666666666666E-2</v>
      </c>
      <c r="E385" s="285" t="s">
        <v>402</v>
      </c>
      <c r="F385" s="285">
        <v>730</v>
      </c>
      <c r="G385" s="286">
        <f t="shared" si="28"/>
        <v>48.666666666666664</v>
      </c>
    </row>
    <row r="386" spans="1:7" x14ac:dyDescent="0.3">
      <c r="A386" s="290">
        <f t="shared" si="27"/>
        <v>62.400000000000006</v>
      </c>
      <c r="B386" s="291" t="s">
        <v>403</v>
      </c>
      <c r="C386" s="285">
        <v>1</v>
      </c>
      <c r="D386" s="285">
        <v>6</v>
      </c>
      <c r="E386" s="285" t="s">
        <v>152</v>
      </c>
      <c r="F386" s="285">
        <v>10</v>
      </c>
      <c r="G386" s="286">
        <f t="shared" si="28"/>
        <v>60</v>
      </c>
    </row>
    <row r="387" spans="1:7" x14ac:dyDescent="0.3">
      <c r="A387" s="290">
        <f t="shared" si="27"/>
        <v>62.500000000000007</v>
      </c>
      <c r="B387" s="291" t="s">
        <v>404</v>
      </c>
      <c r="C387" s="285">
        <v>1</v>
      </c>
      <c r="D387" s="285">
        <v>1</v>
      </c>
      <c r="E387" s="285" t="s">
        <v>157</v>
      </c>
      <c r="F387" s="285">
        <v>33</v>
      </c>
      <c r="G387" s="286">
        <f t="shared" si="28"/>
        <v>33</v>
      </c>
    </row>
    <row r="388" spans="1:7" x14ac:dyDescent="0.3">
      <c r="A388" s="290">
        <f t="shared" si="27"/>
        <v>62.600000000000009</v>
      </c>
      <c r="B388" s="291" t="s">
        <v>405</v>
      </c>
      <c r="C388" s="285">
        <v>1</v>
      </c>
      <c r="D388" s="285">
        <v>1</v>
      </c>
      <c r="E388" s="285" t="s">
        <v>168</v>
      </c>
      <c r="F388" s="285">
        <v>150</v>
      </c>
      <c r="G388" s="286">
        <f t="shared" si="28"/>
        <v>150</v>
      </c>
    </row>
    <row r="389" spans="1:7" x14ac:dyDescent="0.3">
      <c r="A389" s="290">
        <f t="shared" si="27"/>
        <v>62.70000000000001</v>
      </c>
      <c r="B389" s="291" t="s">
        <v>406</v>
      </c>
      <c r="C389" s="285">
        <v>1</v>
      </c>
      <c r="D389" s="285">
        <v>1</v>
      </c>
      <c r="E389" s="285" t="s">
        <v>168</v>
      </c>
      <c r="F389" s="285"/>
      <c r="G389" s="286">
        <f t="shared" si="28"/>
        <v>0</v>
      </c>
    </row>
    <row r="390" spans="1:7" x14ac:dyDescent="0.3">
      <c r="A390" s="290"/>
      <c r="B390" s="291"/>
      <c r="C390" s="285"/>
      <c r="D390" s="285"/>
      <c r="E390" s="285"/>
      <c r="F390" s="312" t="s">
        <v>146</v>
      </c>
      <c r="G390" s="286">
        <f>SUM(G383:G389)</f>
        <v>1073.3042666666665</v>
      </c>
    </row>
    <row r="391" spans="1:7" x14ac:dyDescent="0.3">
      <c r="A391" s="290"/>
      <c r="B391" s="291"/>
      <c r="C391" s="285"/>
      <c r="D391" s="285"/>
      <c r="E391" s="285"/>
      <c r="F391" s="285"/>
      <c r="G391" s="286"/>
    </row>
    <row r="392" spans="1:7" ht="46.8" x14ac:dyDescent="0.3">
      <c r="A392" s="290">
        <v>63</v>
      </c>
      <c r="B392" s="314" t="s">
        <v>407</v>
      </c>
      <c r="C392" s="285"/>
      <c r="D392" s="285"/>
      <c r="E392" s="285"/>
      <c r="F392" s="285"/>
      <c r="G392" s="286"/>
    </row>
    <row r="393" spans="1:7" x14ac:dyDescent="0.3">
      <c r="A393" s="290">
        <f t="shared" ref="A393:A398" si="29">+A392+0.1</f>
        <v>63.1</v>
      </c>
      <c r="B393" s="327" t="s">
        <v>408</v>
      </c>
      <c r="C393" s="285">
        <v>1</v>
      </c>
      <c r="D393" s="285">
        <v>1</v>
      </c>
      <c r="E393" s="285" t="s">
        <v>159</v>
      </c>
      <c r="F393" s="285">
        <v>675</v>
      </c>
      <c r="G393" s="286">
        <f t="shared" ref="G393:G398" si="30">+F393*D393*C393</f>
        <v>675</v>
      </c>
    </row>
    <row r="394" spans="1:7" x14ac:dyDescent="0.3">
      <c r="A394" s="290">
        <f t="shared" si="29"/>
        <v>63.2</v>
      </c>
      <c r="B394" s="327" t="s">
        <v>409</v>
      </c>
      <c r="C394" s="285">
        <v>1</v>
      </c>
      <c r="D394" s="285">
        <v>1</v>
      </c>
      <c r="E394" s="285" t="s">
        <v>159</v>
      </c>
      <c r="F394" s="285">
        <v>325</v>
      </c>
      <c r="G394" s="286">
        <f t="shared" si="30"/>
        <v>325</v>
      </c>
    </row>
    <row r="395" spans="1:7" x14ac:dyDescent="0.3">
      <c r="A395" s="290">
        <f t="shared" si="29"/>
        <v>63.300000000000004</v>
      </c>
      <c r="B395" s="291" t="s">
        <v>400</v>
      </c>
      <c r="C395" s="285">
        <v>0.03</v>
      </c>
      <c r="D395" s="285">
        <v>1</v>
      </c>
      <c r="E395" s="285" t="s">
        <v>173</v>
      </c>
      <c r="F395" s="285">
        <f>+F384</f>
        <v>2765.94</v>
      </c>
      <c r="G395" s="286">
        <f t="shared" si="30"/>
        <v>82.978200000000001</v>
      </c>
    </row>
    <row r="396" spans="1:7" x14ac:dyDescent="0.3">
      <c r="A396" s="290">
        <f t="shared" si="29"/>
        <v>63.400000000000006</v>
      </c>
      <c r="B396" s="291" t="s">
        <v>401</v>
      </c>
      <c r="C396" s="285">
        <v>1</v>
      </c>
      <c r="D396" s="285">
        <v>0.2</v>
      </c>
      <c r="E396" s="285" t="s">
        <v>402</v>
      </c>
      <c r="F396" s="285">
        <v>730</v>
      </c>
      <c r="G396" s="286">
        <f t="shared" si="30"/>
        <v>146</v>
      </c>
    </row>
    <row r="397" spans="1:7" x14ac:dyDescent="0.3">
      <c r="A397" s="290">
        <f t="shared" si="29"/>
        <v>63.500000000000007</v>
      </c>
      <c r="B397" s="291" t="s">
        <v>404</v>
      </c>
      <c r="C397" s="285">
        <v>1</v>
      </c>
      <c r="D397" s="285">
        <v>1</v>
      </c>
      <c r="E397" s="285" t="s">
        <v>157</v>
      </c>
      <c r="F397" s="285">
        <v>22</v>
      </c>
      <c r="G397" s="286">
        <f t="shared" si="30"/>
        <v>22</v>
      </c>
    </row>
    <row r="398" spans="1:7" x14ac:dyDescent="0.3">
      <c r="A398" s="290">
        <f t="shared" si="29"/>
        <v>63.600000000000009</v>
      </c>
      <c r="B398" s="291" t="s">
        <v>406</v>
      </c>
      <c r="C398" s="285">
        <v>1</v>
      </c>
      <c r="D398" s="285">
        <v>1</v>
      </c>
      <c r="E398" s="285" t="s">
        <v>159</v>
      </c>
      <c r="F398" s="285">
        <v>220</v>
      </c>
      <c r="G398" s="286">
        <f t="shared" si="30"/>
        <v>220</v>
      </c>
    </row>
    <row r="399" spans="1:7" x14ac:dyDescent="0.3">
      <c r="A399" s="290"/>
      <c r="B399" s="291"/>
      <c r="C399" s="285"/>
      <c r="D399" s="285"/>
      <c r="E399" s="285"/>
      <c r="F399" s="312" t="s">
        <v>146</v>
      </c>
      <c r="G399" s="286">
        <f>SUM(G393:G398)</f>
        <v>1470.9782</v>
      </c>
    </row>
    <row r="400" spans="1:7" ht="31.2" x14ac:dyDescent="0.3">
      <c r="A400" s="290">
        <v>64</v>
      </c>
      <c r="B400" s="314" t="s">
        <v>410</v>
      </c>
      <c r="C400" s="285"/>
      <c r="D400" s="285"/>
      <c r="E400" s="285"/>
      <c r="F400" s="285"/>
      <c r="G400" s="286"/>
    </row>
    <row r="401" spans="1:7" ht="31.2" x14ac:dyDescent="0.3">
      <c r="A401" s="290">
        <f>+A400+0.1</f>
        <v>64.099999999999994</v>
      </c>
      <c r="B401" s="327" t="s">
        <v>398</v>
      </c>
      <c r="C401" s="285">
        <v>1</v>
      </c>
      <c r="D401" s="285">
        <v>1</v>
      </c>
      <c r="E401" s="285" t="s">
        <v>168</v>
      </c>
      <c r="F401" s="285">
        <f>+G390</f>
        <v>1073.3042666666665</v>
      </c>
      <c r="G401" s="286">
        <f>+F401*D401*C401</f>
        <v>1073.3042666666665</v>
      </c>
    </row>
    <row r="402" spans="1:7" x14ac:dyDescent="0.3">
      <c r="A402" s="290"/>
      <c r="B402" s="291"/>
      <c r="C402" s="285"/>
      <c r="D402" s="285"/>
      <c r="E402" s="285"/>
      <c r="F402" s="312" t="s">
        <v>146</v>
      </c>
      <c r="G402" s="286">
        <f>SUM(G401)</f>
        <v>1073.3042666666665</v>
      </c>
    </row>
    <row r="403" spans="1:7" x14ac:dyDescent="0.3">
      <c r="A403" s="290">
        <v>65</v>
      </c>
      <c r="B403" s="314" t="s">
        <v>411</v>
      </c>
      <c r="C403" s="285"/>
      <c r="D403" s="285"/>
      <c r="E403" s="285"/>
      <c r="F403" s="285"/>
      <c r="G403" s="286"/>
    </row>
    <row r="404" spans="1:7" x14ac:dyDescent="0.3">
      <c r="A404" s="290">
        <f>+A403+0.1</f>
        <v>65.099999999999994</v>
      </c>
      <c r="B404" s="320" t="s">
        <v>332</v>
      </c>
      <c r="C404" s="285"/>
      <c r="D404" s="321">
        <v>1</v>
      </c>
      <c r="E404" s="321" t="s">
        <v>130</v>
      </c>
      <c r="F404" s="321">
        <v>1600</v>
      </c>
      <c r="G404" s="322">
        <f t="shared" ref="G404:G412" si="31">+F404*D404</f>
        <v>1600</v>
      </c>
    </row>
    <row r="405" spans="1:7" x14ac:dyDescent="0.3">
      <c r="A405" s="290">
        <f t="shared" ref="A405:A412" si="32">+A404+0.1</f>
        <v>65.199999999999989</v>
      </c>
      <c r="B405" s="320" t="s">
        <v>333</v>
      </c>
      <c r="C405" s="285"/>
      <c r="D405" s="321">
        <v>2</v>
      </c>
      <c r="E405" s="321" t="s">
        <v>191</v>
      </c>
      <c r="F405" s="321">
        <v>350</v>
      </c>
      <c r="G405" s="322">
        <f t="shared" si="31"/>
        <v>700</v>
      </c>
    </row>
    <row r="406" spans="1:7" x14ac:dyDescent="0.3">
      <c r="A406" s="290">
        <f t="shared" si="32"/>
        <v>65.299999999999983</v>
      </c>
      <c r="B406" s="320" t="s">
        <v>412</v>
      </c>
      <c r="C406" s="285"/>
      <c r="D406" s="321">
        <v>1</v>
      </c>
      <c r="E406" s="321" t="s">
        <v>152</v>
      </c>
      <c r="F406" s="321">
        <v>769</v>
      </c>
      <c r="G406" s="322">
        <f t="shared" si="31"/>
        <v>769</v>
      </c>
    </row>
    <row r="407" spans="1:7" x14ac:dyDescent="0.3">
      <c r="A407" s="290">
        <f t="shared" si="32"/>
        <v>65.399999999999977</v>
      </c>
      <c r="B407" s="320" t="s">
        <v>336</v>
      </c>
      <c r="C407" s="285"/>
      <c r="D407" s="321">
        <v>4</v>
      </c>
      <c r="E407" s="321" t="s">
        <v>413</v>
      </c>
      <c r="F407" s="321">
        <v>70</v>
      </c>
      <c r="G407" s="322">
        <f t="shared" si="31"/>
        <v>280</v>
      </c>
    </row>
    <row r="408" spans="1:7" x14ac:dyDescent="0.3">
      <c r="A408" s="290">
        <f t="shared" si="32"/>
        <v>65.499999999999972</v>
      </c>
      <c r="B408" s="320" t="s">
        <v>337</v>
      </c>
      <c r="C408" s="285"/>
      <c r="D408" s="321">
        <v>0.1</v>
      </c>
      <c r="E408" s="321" t="s">
        <v>225</v>
      </c>
      <c r="F408" s="321">
        <f>140*1.18*4</f>
        <v>660.8</v>
      </c>
      <c r="G408" s="322">
        <f t="shared" si="31"/>
        <v>66.08</v>
      </c>
    </row>
    <row r="409" spans="1:7" x14ac:dyDescent="0.3">
      <c r="A409" s="290">
        <f t="shared" si="32"/>
        <v>65.599999999999966</v>
      </c>
      <c r="B409" s="320" t="s">
        <v>338</v>
      </c>
      <c r="C409" s="285"/>
      <c r="D409" s="321">
        <v>0.15</v>
      </c>
      <c r="E409" s="321" t="s">
        <v>225</v>
      </c>
      <c r="F409" s="321">
        <v>700</v>
      </c>
      <c r="G409" s="322">
        <f t="shared" si="31"/>
        <v>105</v>
      </c>
    </row>
    <row r="410" spans="1:7" x14ac:dyDescent="0.3">
      <c r="A410" s="290">
        <f t="shared" si="32"/>
        <v>65.69999999999996</v>
      </c>
      <c r="B410" s="320" t="s">
        <v>339</v>
      </c>
      <c r="C410" s="285"/>
      <c r="D410" s="321">
        <v>1</v>
      </c>
      <c r="E410" s="321" t="s">
        <v>130</v>
      </c>
      <c r="F410" s="321">
        <v>275</v>
      </c>
      <c r="G410" s="322">
        <f t="shared" si="31"/>
        <v>275</v>
      </c>
    </row>
    <row r="411" spans="1:7" x14ac:dyDescent="0.3">
      <c r="A411" s="290">
        <f t="shared" si="32"/>
        <v>65.799999999999955</v>
      </c>
      <c r="B411" s="320" t="s">
        <v>340</v>
      </c>
      <c r="C411" s="285"/>
      <c r="D411" s="321">
        <v>0.2</v>
      </c>
      <c r="E411" s="321" t="s">
        <v>225</v>
      </c>
      <c r="F411" s="321">
        <v>420</v>
      </c>
      <c r="G411" s="322">
        <f t="shared" si="31"/>
        <v>84</v>
      </c>
    </row>
    <row r="412" spans="1:7" x14ac:dyDescent="0.3">
      <c r="A412" s="290">
        <f t="shared" si="32"/>
        <v>65.899999999999949</v>
      </c>
      <c r="B412" s="320" t="s">
        <v>341</v>
      </c>
      <c r="C412" s="285"/>
      <c r="D412" s="321">
        <v>2.5</v>
      </c>
      <c r="E412" s="321" t="s">
        <v>159</v>
      </c>
      <c r="F412" s="321">
        <v>850</v>
      </c>
      <c r="G412" s="322">
        <f t="shared" si="31"/>
        <v>2125</v>
      </c>
    </row>
    <row r="413" spans="1:7" x14ac:dyDescent="0.3">
      <c r="A413" s="290"/>
      <c r="B413" s="320"/>
      <c r="C413" s="285"/>
      <c r="D413" s="321"/>
      <c r="E413" s="321"/>
      <c r="F413" s="323" t="s">
        <v>342</v>
      </c>
      <c r="G413" s="324">
        <f>SUM(G404:G412)/2.5</f>
        <v>2401.6320000000001</v>
      </c>
    </row>
    <row r="414" spans="1:7" x14ac:dyDescent="0.3">
      <c r="A414" s="290">
        <v>66</v>
      </c>
      <c r="B414" s="328" t="s">
        <v>414</v>
      </c>
      <c r="C414" s="285"/>
      <c r="D414" s="285"/>
      <c r="E414" s="285"/>
      <c r="F414" s="285"/>
      <c r="G414" s="286"/>
    </row>
    <row r="415" spans="1:7" x14ac:dyDescent="0.3">
      <c r="A415" s="290">
        <f>+A414+0.1</f>
        <v>66.099999999999994</v>
      </c>
      <c r="B415" s="320" t="s">
        <v>415</v>
      </c>
      <c r="C415" s="285"/>
      <c r="D415" s="321">
        <v>1</v>
      </c>
      <c r="E415" s="321" t="s">
        <v>152</v>
      </c>
      <c r="F415" s="321">
        <v>2500</v>
      </c>
      <c r="G415" s="322">
        <f t="shared" ref="G415:G423" si="33">+F415*D415</f>
        <v>2500</v>
      </c>
    </row>
    <row r="416" spans="1:7" x14ac:dyDescent="0.3">
      <c r="A416" s="290">
        <f t="shared" ref="A416:A422" si="34">+A415+0.1</f>
        <v>66.199999999999989</v>
      </c>
      <c r="B416" s="320" t="s">
        <v>416</v>
      </c>
      <c r="C416" s="285"/>
      <c r="D416" s="321">
        <v>1</v>
      </c>
      <c r="E416" s="321" t="s">
        <v>191</v>
      </c>
      <c r="F416" s="321">
        <v>487</v>
      </c>
      <c r="G416" s="322">
        <f t="shared" si="33"/>
        <v>487</v>
      </c>
    </row>
    <row r="417" spans="1:7" x14ac:dyDescent="0.3">
      <c r="A417" s="290">
        <f t="shared" si="34"/>
        <v>66.299999999999983</v>
      </c>
      <c r="B417" s="320" t="s">
        <v>417</v>
      </c>
      <c r="C417" s="285"/>
      <c r="D417" s="321">
        <v>4</v>
      </c>
      <c r="E417" s="321" t="s">
        <v>418</v>
      </c>
      <c r="F417" s="321">
        <v>250</v>
      </c>
      <c r="G417" s="322">
        <f t="shared" si="33"/>
        <v>1000</v>
      </c>
    </row>
    <row r="418" spans="1:7" x14ac:dyDescent="0.3">
      <c r="A418" s="290">
        <f t="shared" si="34"/>
        <v>66.399999999999977</v>
      </c>
      <c r="B418" s="320" t="s">
        <v>336</v>
      </c>
      <c r="C418" s="285"/>
      <c r="D418" s="321">
        <v>4</v>
      </c>
      <c r="E418" s="321" t="s">
        <v>413</v>
      </c>
      <c r="F418" s="321">
        <v>70</v>
      </c>
      <c r="G418" s="322">
        <f t="shared" si="33"/>
        <v>280</v>
      </c>
    </row>
    <row r="419" spans="1:7" x14ac:dyDescent="0.3">
      <c r="A419" s="290">
        <f t="shared" si="34"/>
        <v>66.499999999999972</v>
      </c>
      <c r="B419" s="320" t="s">
        <v>337</v>
      </c>
      <c r="C419" s="285"/>
      <c r="D419" s="321">
        <v>0.2</v>
      </c>
      <c r="E419" s="321" t="s">
        <v>225</v>
      </c>
      <c r="F419" s="321">
        <f>140*1.18*4</f>
        <v>660.8</v>
      </c>
      <c r="G419" s="322">
        <f t="shared" si="33"/>
        <v>132.16</v>
      </c>
    </row>
    <row r="420" spans="1:7" x14ac:dyDescent="0.3">
      <c r="A420" s="290">
        <f t="shared" si="34"/>
        <v>66.599999999999966</v>
      </c>
      <c r="B420" s="320" t="s">
        <v>338</v>
      </c>
      <c r="C420" s="285"/>
      <c r="D420" s="321">
        <v>0.2</v>
      </c>
      <c r="E420" s="321" t="s">
        <v>225</v>
      </c>
      <c r="F420" s="321">
        <v>700</v>
      </c>
      <c r="G420" s="322">
        <f t="shared" si="33"/>
        <v>140</v>
      </c>
    </row>
    <row r="421" spans="1:7" x14ac:dyDescent="0.3">
      <c r="A421" s="290">
        <f t="shared" si="34"/>
        <v>66.69999999999996</v>
      </c>
      <c r="B421" s="320" t="s">
        <v>339</v>
      </c>
      <c r="C421" s="285"/>
      <c r="D421" s="321">
        <v>0.25</v>
      </c>
      <c r="E421" s="321" t="s">
        <v>130</v>
      </c>
      <c r="F421" s="321">
        <v>275</v>
      </c>
      <c r="G421" s="322">
        <f t="shared" si="33"/>
        <v>68.75</v>
      </c>
    </row>
    <row r="422" spans="1:7" x14ac:dyDescent="0.3">
      <c r="A422" s="290">
        <f t="shared" si="34"/>
        <v>66.799999999999955</v>
      </c>
      <c r="B422" s="320" t="s">
        <v>340</v>
      </c>
      <c r="C422" s="285"/>
      <c r="D422" s="321">
        <v>0.2</v>
      </c>
      <c r="E422" s="321" t="s">
        <v>225</v>
      </c>
      <c r="F422" s="321">
        <v>420</v>
      </c>
      <c r="G422" s="322">
        <f t="shared" si="33"/>
        <v>84</v>
      </c>
    </row>
    <row r="423" spans="1:7" x14ac:dyDescent="0.3">
      <c r="A423" s="290">
        <f>+A422+0.1</f>
        <v>66.899999999999949</v>
      </c>
      <c r="B423" s="320" t="s">
        <v>419</v>
      </c>
      <c r="C423" s="285"/>
      <c r="D423" s="321">
        <v>1</v>
      </c>
      <c r="E423" s="321" t="s">
        <v>157</v>
      </c>
      <c r="F423" s="321">
        <v>2500</v>
      </c>
      <c r="G423" s="322">
        <f t="shared" si="33"/>
        <v>2500</v>
      </c>
    </row>
    <row r="424" spans="1:7" x14ac:dyDescent="0.3">
      <c r="A424" s="290"/>
      <c r="B424" s="291"/>
      <c r="C424" s="285"/>
      <c r="D424" s="285"/>
      <c r="E424" s="285"/>
      <c r="F424" s="323" t="s">
        <v>420</v>
      </c>
      <c r="G424" s="324">
        <f>SUM(G415:G423)</f>
        <v>7191.91</v>
      </c>
    </row>
    <row r="425" spans="1:7" x14ac:dyDescent="0.3">
      <c r="A425" s="290"/>
      <c r="B425" s="291"/>
      <c r="C425" s="285"/>
      <c r="D425" s="285"/>
      <c r="E425" s="285"/>
      <c r="F425" s="323"/>
      <c r="G425" s="324"/>
    </row>
    <row r="426" spans="1:7" x14ac:dyDescent="0.3">
      <c r="A426" s="290">
        <v>67</v>
      </c>
      <c r="B426" s="328" t="s">
        <v>421</v>
      </c>
      <c r="C426" s="285"/>
      <c r="D426" s="291"/>
      <c r="E426" s="291"/>
      <c r="F426" s="291"/>
      <c r="G426" s="286"/>
    </row>
    <row r="427" spans="1:7" x14ac:dyDescent="0.3">
      <c r="A427" s="290">
        <f>+A426+0.1</f>
        <v>67.099999999999994</v>
      </c>
      <c r="B427" s="291" t="s">
        <v>422</v>
      </c>
      <c r="C427" s="285"/>
      <c r="D427" s="285">
        <v>1</v>
      </c>
      <c r="E427" s="285" t="s">
        <v>157</v>
      </c>
      <c r="F427" s="285">
        <v>200</v>
      </c>
      <c r="G427" s="286">
        <f t="shared" ref="G427:G432" si="35">+F427*D427</f>
        <v>200</v>
      </c>
    </row>
    <row r="428" spans="1:7" x14ac:dyDescent="0.3">
      <c r="A428" s="290">
        <f>+A427+0.1</f>
        <v>67.199999999999989</v>
      </c>
      <c r="B428" s="291" t="s">
        <v>423</v>
      </c>
      <c r="C428" s="285"/>
      <c r="D428" s="285">
        <f>0.3*0.4*0.7</f>
        <v>8.3999999999999991E-2</v>
      </c>
      <c r="E428" s="285" t="s">
        <v>173</v>
      </c>
      <c r="F428" s="285">
        <f>+G125</f>
        <v>3202.9399999999996</v>
      </c>
      <c r="G428" s="286">
        <f t="shared" si="35"/>
        <v>269.04695999999996</v>
      </c>
    </row>
    <row r="429" spans="1:7" x14ac:dyDescent="0.3">
      <c r="A429" s="290">
        <f>+A428+0.1</f>
        <v>67.299999999999983</v>
      </c>
      <c r="B429" s="291" t="s">
        <v>265</v>
      </c>
      <c r="C429" s="285"/>
      <c r="D429" s="285">
        <f>6*0.015</f>
        <v>0.09</v>
      </c>
      <c r="E429" s="285" t="s">
        <v>17</v>
      </c>
      <c r="F429" s="285">
        <f>+G140</f>
        <v>1800</v>
      </c>
      <c r="G429" s="286">
        <f t="shared" si="35"/>
        <v>162</v>
      </c>
    </row>
    <row r="430" spans="1:7" x14ac:dyDescent="0.3">
      <c r="A430" s="290">
        <f>+A429+0.1</f>
        <v>67.399999999999977</v>
      </c>
      <c r="B430" s="291" t="s">
        <v>424</v>
      </c>
      <c r="C430" s="285"/>
      <c r="D430" s="285">
        <v>1</v>
      </c>
      <c r="E430" s="285" t="s">
        <v>157</v>
      </c>
      <c r="F430" s="285">
        <v>320</v>
      </c>
      <c r="G430" s="286">
        <f t="shared" si="35"/>
        <v>320</v>
      </c>
    </row>
    <row r="431" spans="1:7" x14ac:dyDescent="0.3">
      <c r="A431" s="290">
        <f>+A430+0.1</f>
        <v>67.499999999999972</v>
      </c>
      <c r="B431" s="291" t="s">
        <v>425</v>
      </c>
      <c r="C431" s="285"/>
      <c r="D431" s="285">
        <v>1</v>
      </c>
      <c r="E431" s="285" t="s">
        <v>157</v>
      </c>
      <c r="F431" s="285">
        <v>350</v>
      </c>
      <c r="G431" s="286">
        <f t="shared" si="35"/>
        <v>350</v>
      </c>
    </row>
    <row r="432" spans="1:7" x14ac:dyDescent="0.3">
      <c r="A432" s="290">
        <f>+A430+0.1</f>
        <v>67.499999999999972</v>
      </c>
      <c r="B432" s="291" t="s">
        <v>426</v>
      </c>
      <c r="C432" s="285"/>
      <c r="D432" s="285">
        <v>1</v>
      </c>
      <c r="E432" s="285" t="s">
        <v>157</v>
      </c>
      <c r="F432" s="285">
        <v>300</v>
      </c>
      <c r="G432" s="286">
        <f t="shared" si="35"/>
        <v>300</v>
      </c>
    </row>
    <row r="433" spans="1:7" x14ac:dyDescent="0.3">
      <c r="A433" s="290"/>
      <c r="B433" s="291"/>
      <c r="C433" s="285"/>
      <c r="D433" s="285"/>
      <c r="E433" s="285"/>
      <c r="F433" s="285"/>
      <c r="G433" s="286"/>
    </row>
    <row r="434" spans="1:7" x14ac:dyDescent="0.3">
      <c r="A434" s="290"/>
      <c r="B434" s="291"/>
      <c r="C434" s="285"/>
      <c r="D434" s="285"/>
      <c r="E434" s="285"/>
      <c r="F434" s="323" t="s">
        <v>420</v>
      </c>
      <c r="G434" s="324">
        <f>SUM(G427:G433)</f>
        <v>1601.0469599999999</v>
      </c>
    </row>
    <row r="435" spans="1:7" ht="46.8" x14ac:dyDescent="0.3">
      <c r="A435" s="290">
        <v>68</v>
      </c>
      <c r="B435" s="329" t="s">
        <v>427</v>
      </c>
      <c r="C435" s="285"/>
      <c r="D435" s="285"/>
      <c r="E435" s="285"/>
      <c r="F435" s="285"/>
      <c r="G435" s="286"/>
    </row>
    <row r="436" spans="1:7" x14ac:dyDescent="0.3">
      <c r="A436" s="290">
        <f>+A435+0.1</f>
        <v>68.099999999999994</v>
      </c>
      <c r="B436" s="291" t="s">
        <v>422</v>
      </c>
      <c r="C436" s="285"/>
      <c r="D436" s="285">
        <v>0.4</v>
      </c>
      <c r="E436" s="285" t="s">
        <v>173</v>
      </c>
      <c r="F436" s="285">
        <f>+G81</f>
        <v>348.33333333333331</v>
      </c>
      <c r="G436" s="286">
        <f>+F436*D436</f>
        <v>139.33333333333334</v>
      </c>
    </row>
    <row r="437" spans="1:7" x14ac:dyDescent="0.3">
      <c r="A437" s="290">
        <f t="shared" ref="A437:A445" si="36">+A436+0.1</f>
        <v>68.199999999999989</v>
      </c>
      <c r="B437" s="291" t="s">
        <v>428</v>
      </c>
      <c r="C437" s="285"/>
      <c r="D437" s="285">
        <f>1.3*0.3*0.2</f>
        <v>7.8000000000000014E-2</v>
      </c>
      <c r="E437" s="285" t="s">
        <v>173</v>
      </c>
      <c r="F437" s="285">
        <f>+G192</f>
        <v>5932.9873333333326</v>
      </c>
      <c r="G437" s="286">
        <f t="shared" ref="G437:G445" si="37">+F437*D437</f>
        <v>462.77301199999999</v>
      </c>
    </row>
    <row r="438" spans="1:7" x14ac:dyDescent="0.3">
      <c r="A438" s="290">
        <f t="shared" si="36"/>
        <v>68.299999999999983</v>
      </c>
      <c r="B438" s="291" t="s">
        <v>429</v>
      </c>
      <c r="C438" s="285"/>
      <c r="D438" s="285">
        <v>0.4</v>
      </c>
      <c r="E438" s="285" t="s">
        <v>173</v>
      </c>
      <c r="F438" s="285">
        <f>+G102</f>
        <v>550.89499999999998</v>
      </c>
      <c r="G438" s="286">
        <f t="shared" si="37"/>
        <v>220.358</v>
      </c>
    </row>
    <row r="439" spans="1:7" x14ac:dyDescent="0.3">
      <c r="A439" s="290">
        <f t="shared" si="36"/>
        <v>68.399999999999977</v>
      </c>
      <c r="B439" s="291" t="s">
        <v>430</v>
      </c>
      <c r="C439" s="285"/>
      <c r="D439" s="285">
        <v>1.4</v>
      </c>
      <c r="E439" s="285" t="s">
        <v>168</v>
      </c>
      <c r="F439" s="285">
        <f>+G201</f>
        <v>747.28491199999996</v>
      </c>
      <c r="G439" s="286">
        <f t="shared" si="37"/>
        <v>1046.1988767999999</v>
      </c>
    </row>
    <row r="440" spans="1:7" x14ac:dyDescent="0.3">
      <c r="A440" s="290">
        <f t="shared" si="36"/>
        <v>68.499999999999972</v>
      </c>
      <c r="B440" s="291" t="s">
        <v>431</v>
      </c>
      <c r="C440" s="285"/>
      <c r="D440" s="285">
        <v>2.8</v>
      </c>
      <c r="E440" s="285" t="s">
        <v>168</v>
      </c>
      <c r="F440" s="285">
        <f>+G211</f>
        <v>246.41492</v>
      </c>
      <c r="G440" s="286">
        <f t="shared" si="37"/>
        <v>689.96177599999999</v>
      </c>
    </row>
    <row r="441" spans="1:7" x14ac:dyDescent="0.3">
      <c r="A441" s="290">
        <f t="shared" si="36"/>
        <v>68.599999999999966</v>
      </c>
      <c r="B441" s="291" t="s">
        <v>432</v>
      </c>
      <c r="C441" s="285"/>
      <c r="D441" s="285">
        <f>2.6*2</f>
        <v>5.2</v>
      </c>
      <c r="E441" s="285" t="s">
        <v>159</v>
      </c>
      <c r="F441" s="285">
        <f>+G217</f>
        <v>57.293948</v>
      </c>
      <c r="G441" s="286">
        <f t="shared" si="37"/>
        <v>297.92852959999999</v>
      </c>
    </row>
    <row r="442" spans="1:7" x14ac:dyDescent="0.3">
      <c r="A442" s="290">
        <f t="shared" si="36"/>
        <v>68.69999999999996</v>
      </c>
      <c r="B442" s="291" t="s">
        <v>433</v>
      </c>
      <c r="C442" s="285"/>
      <c r="D442" s="285">
        <v>0.6</v>
      </c>
      <c r="E442" s="285" t="s">
        <v>168</v>
      </c>
      <c r="F442" s="285">
        <f>+G170</f>
        <v>643.78237000000013</v>
      </c>
      <c r="G442" s="286">
        <f t="shared" si="37"/>
        <v>386.26942200000008</v>
      </c>
    </row>
    <row r="443" spans="1:7" x14ac:dyDescent="0.3">
      <c r="A443" s="290">
        <f t="shared" si="36"/>
        <v>68.799999999999955</v>
      </c>
      <c r="B443" s="291" t="s">
        <v>434</v>
      </c>
      <c r="C443" s="285"/>
      <c r="D443" s="285">
        <f>+D440+2.6*0.2</f>
        <v>3.32</v>
      </c>
      <c r="E443" s="285" t="s">
        <v>168</v>
      </c>
      <c r="F443" s="285">
        <f>+G230</f>
        <v>146.92500000000001</v>
      </c>
      <c r="G443" s="286">
        <f t="shared" si="37"/>
        <v>487.791</v>
      </c>
    </row>
    <row r="444" spans="1:7" x14ac:dyDescent="0.3">
      <c r="A444" s="290">
        <f t="shared" si="36"/>
        <v>68.899999999999949</v>
      </c>
      <c r="B444" s="291" t="s">
        <v>435</v>
      </c>
      <c r="C444" s="285"/>
      <c r="D444" s="285">
        <v>6</v>
      </c>
      <c r="E444" s="285" t="s">
        <v>149</v>
      </c>
      <c r="F444" s="285">
        <v>400</v>
      </c>
      <c r="G444" s="286">
        <f t="shared" si="37"/>
        <v>2400</v>
      </c>
    </row>
    <row r="445" spans="1:7" x14ac:dyDescent="0.3">
      <c r="A445" s="290">
        <f t="shared" si="36"/>
        <v>68.999999999999943</v>
      </c>
      <c r="B445" s="291" t="s">
        <v>436</v>
      </c>
      <c r="C445" s="285"/>
      <c r="D445" s="285">
        <v>1</v>
      </c>
      <c r="E445" s="285" t="s">
        <v>152</v>
      </c>
      <c r="F445" s="285">
        <v>1685</v>
      </c>
      <c r="G445" s="286">
        <f t="shared" si="37"/>
        <v>1685</v>
      </c>
    </row>
    <row r="446" spans="1:7" x14ac:dyDescent="0.3">
      <c r="A446" s="290"/>
      <c r="B446" s="291"/>
      <c r="C446" s="285"/>
      <c r="D446" s="285"/>
      <c r="E446" s="285"/>
      <c r="F446" s="285"/>
      <c r="G446" s="286"/>
    </row>
    <row r="447" spans="1:7" x14ac:dyDescent="0.3">
      <c r="A447" s="290"/>
      <c r="B447" s="291"/>
      <c r="C447" s="285"/>
      <c r="D447" s="285"/>
      <c r="E447" s="285"/>
      <c r="F447" s="323" t="s">
        <v>420</v>
      </c>
      <c r="G447" s="324">
        <f>SUM(G436:G446)</f>
        <v>7815.6139497333334</v>
      </c>
    </row>
    <row r="448" spans="1:7" x14ac:dyDescent="0.3">
      <c r="A448" s="290"/>
      <c r="B448" s="291"/>
      <c r="C448" s="285"/>
      <c r="D448" s="285"/>
      <c r="E448" s="285"/>
      <c r="F448" s="285"/>
      <c r="G448" s="286"/>
    </row>
    <row r="450" spans="1:7" s="335" customFormat="1" x14ac:dyDescent="0.3">
      <c r="A450" s="330"/>
      <c r="B450" s="331" t="s">
        <v>437</v>
      </c>
      <c r="C450" s="332"/>
      <c r="D450" s="332"/>
      <c r="E450" s="332"/>
      <c r="F450" s="333"/>
      <c r="G450" s="334"/>
    </row>
    <row r="451" spans="1:7" s="335" customFormat="1" x14ac:dyDescent="0.3">
      <c r="A451" s="330"/>
      <c r="B451" s="336" t="s">
        <v>438</v>
      </c>
      <c r="C451" s="332"/>
      <c r="D451" s="332"/>
      <c r="E451" s="332"/>
      <c r="F451" s="337"/>
      <c r="G451" s="334"/>
    </row>
    <row r="452" spans="1:7" s="335" customFormat="1" x14ac:dyDescent="0.3">
      <c r="A452" s="330"/>
      <c r="B452" s="338" t="s">
        <v>439</v>
      </c>
      <c r="C452" s="332"/>
      <c r="D452" s="332"/>
      <c r="E452" s="332"/>
      <c r="F452" s="337"/>
      <c r="G452" s="334"/>
    </row>
    <row r="453" spans="1:7" s="335" customFormat="1" x14ac:dyDescent="0.3">
      <c r="A453" s="339"/>
      <c r="B453" s="331"/>
      <c r="C453" s="332"/>
      <c r="D453" s="332"/>
      <c r="E453" s="332"/>
      <c r="F453" s="337"/>
      <c r="G453" s="334"/>
    </row>
  </sheetData>
  <mergeCells count="2">
    <mergeCell ref="A1:G1"/>
    <mergeCell ref="F2:G2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scale="69" fitToHeight="8" orientation="portrait" r:id="rId1"/>
  <rowBreaks count="3" manualBreakCount="3">
    <brk id="54" max="6" man="1"/>
    <brk id="110" max="6" man="1"/>
    <brk id="341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1"/>
  <sheetViews>
    <sheetView topLeftCell="A18" workbookViewId="0">
      <selection activeCell="F36" sqref="F36"/>
    </sheetView>
  </sheetViews>
  <sheetFormatPr baseColWidth="10" defaultRowHeight="14.4" x14ac:dyDescent="0.3"/>
  <cols>
    <col min="1" max="1" width="4" bestFit="1" customWidth="1"/>
    <col min="2" max="2" width="76.33203125" bestFit="1" customWidth="1"/>
    <col min="3" max="3" width="10" style="717" bestFit="1" customWidth="1"/>
    <col min="4" max="4" width="9.44140625" style="717" bestFit="1" customWidth="1"/>
    <col min="5" max="5" width="12" style="717" bestFit="1" customWidth="1"/>
    <col min="6" max="6" width="11.44140625" style="717"/>
  </cols>
  <sheetData>
    <row r="3" spans="1:6" x14ac:dyDescent="0.3">
      <c r="A3" t="s">
        <v>766</v>
      </c>
      <c r="B3" t="s">
        <v>767</v>
      </c>
    </row>
    <row r="5" spans="1:6" x14ac:dyDescent="0.3">
      <c r="A5">
        <v>1</v>
      </c>
      <c r="B5" t="s">
        <v>738</v>
      </c>
    </row>
    <row r="6" spans="1:6" x14ac:dyDescent="0.3">
      <c r="A6">
        <v>1.1000000000000001</v>
      </c>
      <c r="B6" t="s">
        <v>739</v>
      </c>
      <c r="C6" s="717">
        <v>1</v>
      </c>
      <c r="D6" s="717" t="s">
        <v>107</v>
      </c>
      <c r="E6" s="717">
        <v>1500</v>
      </c>
      <c r="F6" s="717">
        <v>1500</v>
      </c>
    </row>
    <row r="8" spans="1:6" x14ac:dyDescent="0.3">
      <c r="A8">
        <v>2</v>
      </c>
      <c r="B8" t="s">
        <v>768</v>
      </c>
    </row>
    <row r="9" spans="1:6" x14ac:dyDescent="0.3">
      <c r="A9">
        <v>2.1</v>
      </c>
      <c r="B9" t="s">
        <v>769</v>
      </c>
      <c r="C9" s="717">
        <v>5.4112499999999999</v>
      </c>
      <c r="D9" s="717" t="s">
        <v>26</v>
      </c>
      <c r="E9" s="717">
        <v>304.61538461538458</v>
      </c>
      <c r="F9" s="717">
        <v>1648.35</v>
      </c>
    </row>
    <row r="10" spans="1:6" x14ac:dyDescent="0.3">
      <c r="A10">
        <v>2.2000000000000002</v>
      </c>
      <c r="B10" t="s">
        <v>770</v>
      </c>
      <c r="C10" s="717">
        <v>6.5476124999999996</v>
      </c>
      <c r="D10" s="717" t="s">
        <v>26</v>
      </c>
      <c r="E10" s="717">
        <v>330</v>
      </c>
      <c r="F10" s="717">
        <v>2160.712125</v>
      </c>
    </row>
    <row r="12" spans="1:6" x14ac:dyDescent="0.3">
      <c r="A12">
        <v>3</v>
      </c>
      <c r="B12" t="s">
        <v>741</v>
      </c>
    </row>
    <row r="13" spans="1:6" x14ac:dyDescent="0.3">
      <c r="A13" t="s">
        <v>771</v>
      </c>
      <c r="B13" t="s">
        <v>772</v>
      </c>
      <c r="C13" s="717">
        <v>0.35</v>
      </c>
      <c r="D13" s="717" t="s">
        <v>26</v>
      </c>
      <c r="E13" s="717">
        <v>11183.289999999999</v>
      </c>
      <c r="F13" s="717">
        <v>3914.1514999999995</v>
      </c>
    </row>
    <row r="14" spans="1:6" x14ac:dyDescent="0.3">
      <c r="A14" t="s">
        <v>773</v>
      </c>
      <c r="B14" t="s">
        <v>774</v>
      </c>
      <c r="C14" s="717">
        <v>0.42</v>
      </c>
      <c r="D14" s="717" t="s">
        <v>26</v>
      </c>
      <c r="E14" s="717">
        <v>17418.62</v>
      </c>
      <c r="F14" s="717">
        <v>7315.8203999999996</v>
      </c>
    </row>
    <row r="15" spans="1:6" x14ac:dyDescent="0.3">
      <c r="A15" t="s">
        <v>775</v>
      </c>
      <c r="B15" t="s">
        <v>776</v>
      </c>
      <c r="C15" s="717">
        <v>0.68</v>
      </c>
      <c r="D15" s="717" t="s">
        <v>26</v>
      </c>
      <c r="E15" s="717">
        <v>6463.308</v>
      </c>
      <c r="F15" s="717">
        <v>4395.0494400000007</v>
      </c>
    </row>
    <row r="17" spans="1:6" x14ac:dyDescent="0.3">
      <c r="A17">
        <v>4</v>
      </c>
      <c r="B17" t="s">
        <v>777</v>
      </c>
    </row>
    <row r="18" spans="1:6" x14ac:dyDescent="0.3">
      <c r="A18" t="s">
        <v>778</v>
      </c>
      <c r="B18" t="s">
        <v>779</v>
      </c>
      <c r="C18" s="717">
        <v>13.06</v>
      </c>
      <c r="D18" s="717" t="s">
        <v>27</v>
      </c>
      <c r="E18" s="717">
        <v>1219.6599999999999</v>
      </c>
      <c r="F18" s="717">
        <v>15928.759599999999</v>
      </c>
    </row>
    <row r="20" spans="1:6" x14ac:dyDescent="0.3">
      <c r="A20">
        <v>5</v>
      </c>
      <c r="B20" t="s">
        <v>780</v>
      </c>
    </row>
    <row r="21" spans="1:6" x14ac:dyDescent="0.3">
      <c r="A21" t="s">
        <v>781</v>
      </c>
      <c r="B21" t="s">
        <v>782</v>
      </c>
      <c r="C21" s="717">
        <v>13.06</v>
      </c>
      <c r="D21" s="717" t="s">
        <v>27</v>
      </c>
      <c r="E21" s="717">
        <v>315.67</v>
      </c>
      <c r="F21" s="717">
        <v>4122.6502</v>
      </c>
    </row>
    <row r="22" spans="1:6" x14ac:dyDescent="0.3">
      <c r="A22" t="s">
        <v>783</v>
      </c>
      <c r="B22" t="s">
        <v>784</v>
      </c>
      <c r="C22" s="717">
        <v>3.51</v>
      </c>
      <c r="D22" s="717" t="s">
        <v>27</v>
      </c>
      <c r="E22" s="717">
        <v>469.78100000000001</v>
      </c>
      <c r="F22" s="717">
        <v>1648.9313099999999</v>
      </c>
    </row>
    <row r="23" spans="1:6" x14ac:dyDescent="0.3">
      <c r="A23">
        <v>5.3</v>
      </c>
      <c r="B23" t="s">
        <v>785</v>
      </c>
      <c r="C23" s="717">
        <v>10</v>
      </c>
      <c r="D23" s="717" t="s">
        <v>18</v>
      </c>
      <c r="E23" s="717">
        <v>88.62</v>
      </c>
      <c r="F23" s="717">
        <v>886.2</v>
      </c>
    </row>
    <row r="24" spans="1:6" x14ac:dyDescent="0.3">
      <c r="A24">
        <v>5.4</v>
      </c>
      <c r="B24" t="s">
        <v>786</v>
      </c>
      <c r="C24" s="717">
        <v>11.1</v>
      </c>
      <c r="D24" s="717" t="s">
        <v>18</v>
      </c>
      <c r="E24" s="717">
        <v>88.62</v>
      </c>
      <c r="F24" s="717">
        <v>983.68200000000002</v>
      </c>
    </row>
    <row r="26" spans="1:6" x14ac:dyDescent="0.3">
      <c r="A26">
        <v>6</v>
      </c>
      <c r="B26" t="s">
        <v>787</v>
      </c>
    </row>
    <row r="27" spans="1:6" x14ac:dyDescent="0.3">
      <c r="A27">
        <v>6.1</v>
      </c>
      <c r="B27" t="s">
        <v>788</v>
      </c>
      <c r="C27" s="717">
        <v>2</v>
      </c>
      <c r="D27" s="717" t="s">
        <v>126</v>
      </c>
      <c r="E27" s="717">
        <v>3500</v>
      </c>
      <c r="F27" s="717">
        <v>7000</v>
      </c>
    </row>
    <row r="28" spans="1:6" x14ac:dyDescent="0.3">
      <c r="A28">
        <v>6.2</v>
      </c>
      <c r="B28" t="s">
        <v>789</v>
      </c>
      <c r="C28" s="717">
        <v>1</v>
      </c>
      <c r="D28" s="717" t="s">
        <v>130</v>
      </c>
      <c r="E28" s="717">
        <v>5950</v>
      </c>
      <c r="F28" s="717">
        <v>5950</v>
      </c>
    </row>
    <row r="32" spans="1:6" x14ac:dyDescent="0.3">
      <c r="B32" s="914" t="s">
        <v>790</v>
      </c>
      <c r="C32" s="914"/>
      <c r="D32" s="914"/>
      <c r="E32" s="914"/>
      <c r="F32" s="718">
        <f>SUM(F6:F30)</f>
        <v>57454.306574999995</v>
      </c>
    </row>
    <row r="33" spans="2:7" x14ac:dyDescent="0.3">
      <c r="F33" s="719"/>
    </row>
    <row r="34" spans="2:7" x14ac:dyDescent="0.3">
      <c r="B34" s="720" t="s">
        <v>791</v>
      </c>
    </row>
    <row r="35" spans="2:7" x14ac:dyDescent="0.3">
      <c r="B35" s="1" t="s">
        <v>792</v>
      </c>
      <c r="C35" s="1">
        <f>(2.5*2*4)-(1.77*2)</f>
        <v>16.46</v>
      </c>
      <c r="D35" s="721">
        <f>C35*E18</f>
        <v>20075.603599999999</v>
      </c>
      <c r="E35" s="722"/>
      <c r="F35" s="1">
        <f>(1.5*2*4)-(1.77*2)</f>
        <v>8.4600000000000009</v>
      </c>
      <c r="G35" s="721">
        <f>F35*E18</f>
        <v>10318.3236</v>
      </c>
    </row>
    <row r="36" spans="2:7" x14ac:dyDescent="0.3">
      <c r="B36" s="1" t="s">
        <v>793</v>
      </c>
      <c r="C36" s="1">
        <f>1.5*1.5*0.1</f>
        <v>0.22500000000000001</v>
      </c>
      <c r="D36" s="721">
        <f>C36*Inbornal!E13</f>
        <v>2516.2402499999998</v>
      </c>
      <c r="E36" s="722"/>
      <c r="F36" s="1">
        <f>1.5*1.5*0.1</f>
        <v>0.22500000000000001</v>
      </c>
      <c r="G36" s="721">
        <f>F36*E13</f>
        <v>2516.2402499999998</v>
      </c>
    </row>
    <row r="37" spans="2:7" x14ac:dyDescent="0.3">
      <c r="B37" s="1" t="s">
        <v>794</v>
      </c>
      <c r="C37" s="1">
        <f>C35</f>
        <v>16.46</v>
      </c>
      <c r="D37" s="721">
        <f>C37*E21</f>
        <v>5195.9282000000003</v>
      </c>
      <c r="E37" s="722"/>
      <c r="F37" s="1">
        <f>F35</f>
        <v>8.4600000000000009</v>
      </c>
      <c r="G37" s="721">
        <f>F37*E21</f>
        <v>2670.5682000000006</v>
      </c>
    </row>
    <row r="38" spans="2:7" x14ac:dyDescent="0.3">
      <c r="B38" s="1" t="s">
        <v>795</v>
      </c>
      <c r="C38" s="1">
        <f>1.5*1.5*0.12</f>
        <v>0.27</v>
      </c>
      <c r="D38" s="721">
        <f>C38*E14</f>
        <v>4703.0273999999999</v>
      </c>
      <c r="E38" s="722"/>
      <c r="F38" s="1">
        <f>1.5*1.5*0.12</f>
        <v>0.27</v>
      </c>
      <c r="G38" s="721">
        <f>F38*E14</f>
        <v>4703.0273999999999</v>
      </c>
    </row>
    <row r="39" spans="2:7" x14ac:dyDescent="0.3">
      <c r="B39" s="1" t="s">
        <v>765</v>
      </c>
      <c r="C39" s="1">
        <f>1.5+1.5+1.5+1.5</f>
        <v>6</v>
      </c>
      <c r="D39" s="721">
        <f>C39*E23</f>
        <v>531.72</v>
      </c>
      <c r="E39" s="722"/>
      <c r="F39" s="1">
        <f>1.5+1.5+1.5+1.5</f>
        <v>6</v>
      </c>
      <c r="G39" s="721">
        <f>F39*E23</f>
        <v>531.72</v>
      </c>
    </row>
    <row r="40" spans="2:7" x14ac:dyDescent="0.3">
      <c r="B40" s="1"/>
      <c r="C40" s="1"/>
      <c r="D40" s="721">
        <f>SUM(D35:D39)</f>
        <v>33022.51945</v>
      </c>
      <c r="E40" s="722"/>
      <c r="F40" s="1"/>
      <c r="G40" s="721">
        <f>SUM(G35:G39)</f>
        <v>20739.87945</v>
      </c>
    </row>
    <row r="41" spans="2:7" x14ac:dyDescent="0.3">
      <c r="B41" s="1" t="s">
        <v>796</v>
      </c>
      <c r="C41" s="1"/>
      <c r="D41" s="721">
        <v>5950</v>
      </c>
      <c r="E41" s="722"/>
      <c r="F41" s="1"/>
      <c r="G41" s="721">
        <v>5950</v>
      </c>
    </row>
    <row r="42" spans="2:7" x14ac:dyDescent="0.3">
      <c r="B42" s="915" t="s">
        <v>797</v>
      </c>
      <c r="C42" s="915"/>
      <c r="D42" s="723">
        <f>D41+D40</f>
        <v>38972.51945</v>
      </c>
      <c r="E42" s="722"/>
      <c r="G42" s="723">
        <f>G41+G40</f>
        <v>26689.87945</v>
      </c>
    </row>
    <row r="43" spans="2:7" x14ac:dyDescent="0.3">
      <c r="B43" s="724"/>
      <c r="C43" s="722"/>
      <c r="D43" s="722"/>
      <c r="E43" s="722"/>
    </row>
    <row r="45" spans="2:7" x14ac:dyDescent="0.3">
      <c r="B45" t="s">
        <v>798</v>
      </c>
      <c r="C45" s="717" t="s">
        <v>799</v>
      </c>
      <c r="D45" s="717" t="s">
        <v>800</v>
      </c>
      <c r="E45" s="717" t="s">
        <v>801</v>
      </c>
    </row>
    <row r="46" spans="2:7" x14ac:dyDescent="0.3">
      <c r="B46">
        <v>18</v>
      </c>
      <c r="C46" s="717">
        <v>1300</v>
      </c>
      <c r="D46" s="717">
        <v>280</v>
      </c>
      <c r="E46" s="717">
        <f t="shared" ref="E46:E51" si="0">D46+C46</f>
        <v>1580</v>
      </c>
    </row>
    <row r="47" spans="2:7" x14ac:dyDescent="0.3">
      <c r="B47">
        <v>24</v>
      </c>
      <c r="C47" s="717">
        <v>1800</v>
      </c>
      <c r="D47" s="717">
        <v>300</v>
      </c>
      <c r="E47" s="717">
        <f t="shared" si="0"/>
        <v>2100</v>
      </c>
    </row>
    <row r="48" spans="2:7" x14ac:dyDescent="0.3">
      <c r="B48">
        <v>30</v>
      </c>
      <c r="C48" s="717">
        <v>2500</v>
      </c>
      <c r="D48" s="717">
        <v>350</v>
      </c>
      <c r="E48" s="717">
        <f t="shared" si="0"/>
        <v>2850</v>
      </c>
    </row>
    <row r="49" spans="2:5" x14ac:dyDescent="0.3">
      <c r="B49">
        <v>36</v>
      </c>
      <c r="C49" s="717">
        <v>3500</v>
      </c>
      <c r="D49" s="717">
        <v>400</v>
      </c>
      <c r="E49" s="717">
        <f t="shared" si="0"/>
        <v>3900</v>
      </c>
    </row>
    <row r="50" spans="2:5" x14ac:dyDescent="0.3">
      <c r="B50">
        <v>42</v>
      </c>
      <c r="C50" s="717">
        <v>4600</v>
      </c>
      <c r="D50" s="717">
        <v>650</v>
      </c>
      <c r="E50" s="717">
        <f t="shared" si="0"/>
        <v>5250</v>
      </c>
    </row>
    <row r="51" spans="2:5" x14ac:dyDescent="0.3">
      <c r="B51">
        <v>48</v>
      </c>
      <c r="C51" s="717">
        <v>5600</v>
      </c>
      <c r="D51" s="717">
        <v>850</v>
      </c>
      <c r="E51" s="717">
        <f t="shared" si="0"/>
        <v>6450</v>
      </c>
    </row>
  </sheetData>
  <mergeCells count="2">
    <mergeCell ref="B32:E32"/>
    <mergeCell ref="B42:C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Cancha camino vertedero</vt:lpstr>
      <vt:lpstr>Analisis</vt:lpstr>
      <vt:lpstr>Hormigones</vt:lpstr>
      <vt:lpstr>Elementos de HA</vt:lpstr>
      <vt:lpstr>Terminacion de Superficie</vt:lpstr>
      <vt:lpstr>Miscelaneos</vt:lpstr>
      <vt:lpstr>ELEC</vt:lpstr>
      <vt:lpstr>ANALISISDECOSTO</vt:lpstr>
      <vt:lpstr>Inbornal</vt:lpstr>
      <vt:lpstr>ANALISISDECOSTO!Área_de_impresión</vt:lpstr>
      <vt:lpstr>'Cancha camino vertedero'!Área_de_impresión</vt:lpstr>
      <vt:lpstr>ELEC!Área_de_impresión</vt:lpstr>
      <vt:lpstr>Hormigones!Área_de_impresión</vt:lpstr>
      <vt:lpstr>Miscelaneos!Área_de_impresión</vt:lpstr>
      <vt:lpstr>'Terminacion de Superficie'!Área_de_impresión</vt:lpstr>
      <vt:lpstr>ANALISISDECOSTO!Títulos_a_imprimir</vt:lpstr>
      <vt:lpstr>'Cancha camino vertedero'!Títulos_a_imprimir</vt:lpstr>
      <vt:lpstr>ELEC!Títulos_a_imprimir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Relyn Antonio De la Paz</cp:lastModifiedBy>
  <cp:lastPrinted>2023-06-22T16:58:38Z</cp:lastPrinted>
  <dcterms:created xsi:type="dcterms:W3CDTF">2012-10-02T15:50:49Z</dcterms:created>
  <dcterms:modified xsi:type="dcterms:W3CDTF">2023-06-22T18:01:51Z</dcterms:modified>
</cp:coreProperties>
</file>